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475" activeTab="0"/>
  </bookViews>
  <sheets>
    <sheet name="Quick Calculations" sheetId="1" r:id="rId1"/>
    <sheet name="Efficiency Graph" sheetId="2" r:id="rId2"/>
    <sheet name="Warnings &amp; Errors" sheetId="3" r:id="rId3"/>
  </sheets>
  <definedNames>
    <definedName name="_xlnm.Print_Area" localSheetId="0">'Quick Calculations'!$A$1:$T$28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<sst xmlns="http://schemas.openxmlformats.org/spreadsheetml/2006/main" count="196" uniqueCount="119">
  <si>
    <t>Enter Information Below</t>
  </si>
  <si>
    <t>Calculated Results</t>
  </si>
  <si>
    <t>Volts</t>
  </si>
  <si>
    <t>kHz</t>
  </si>
  <si>
    <t>W</t>
  </si>
  <si>
    <t>Vee - Full Load =</t>
  </si>
  <si>
    <r>
      <t>Load Impedance</t>
    </r>
    <r>
      <rPr>
        <sz val="10"/>
        <rFont val="Arial"/>
        <family val="0"/>
      </rPr>
      <t xml:space="preserve"> =</t>
    </r>
  </si>
  <si>
    <t>Switching Frequency =</t>
  </si>
  <si>
    <t>Watts</t>
  </si>
  <si>
    <r>
      <t>k</t>
    </r>
    <r>
      <rPr>
        <sz val="10"/>
        <rFont val="Symbol"/>
        <family val="1"/>
      </rPr>
      <t>W</t>
    </r>
  </si>
  <si>
    <t>Output Power Calculations</t>
  </si>
  <si>
    <t>Last Update:</t>
  </si>
  <si>
    <t>A</t>
  </si>
  <si>
    <r>
      <t>I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in Load =</t>
    </r>
  </si>
  <si>
    <t>Vcc - Full Load =</t>
  </si>
  <si>
    <t>Efficiency of System =</t>
  </si>
  <si>
    <r>
      <t>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in Driver (Lm4651) =</t>
    </r>
  </si>
  <si>
    <r>
      <t>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in FETs (Lm4652) =</t>
    </r>
  </si>
  <si>
    <t>%</t>
  </si>
  <si>
    <t>C</t>
  </si>
  <si>
    <t>Efficiency Calculations</t>
  </si>
  <si>
    <t>Heat Sink Size Calculations</t>
  </si>
  <si>
    <r>
      <t>Total 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</si>
  <si>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at Load =</t>
    </r>
  </si>
  <si>
    <t>C/W</t>
  </si>
  <si>
    <r>
      <t>R</t>
    </r>
    <r>
      <rPr>
        <vertAlign val="subscript"/>
        <sz val="10"/>
        <rFont val="Arial"/>
        <family val="2"/>
      </rPr>
      <t>osc</t>
    </r>
    <r>
      <rPr>
        <sz val="10"/>
        <rFont val="Arial"/>
        <family val="0"/>
      </rPr>
      <t xml:space="preserve"> value </t>
    </r>
    <r>
      <rPr>
        <sz val="10"/>
        <rFont val="Symbol"/>
        <family val="1"/>
      </rPr>
      <t>@</t>
    </r>
  </si>
  <si>
    <r>
      <t>Q</t>
    </r>
    <r>
      <rPr>
        <sz val="10"/>
        <rFont val="Arial"/>
        <family val="0"/>
      </rPr>
      <t>sa</t>
    </r>
  </si>
  <si>
    <t>Full Power ' T ' =</t>
  </si>
  <si>
    <t>*1/2 Power ' T ' =</t>
  </si>
  <si>
    <t>* ' TF' =</t>
  </si>
  <si>
    <t xml:space="preserve">System Efficiency and Power Losses plus Thermal Design </t>
  </si>
  <si>
    <r>
      <t>R</t>
    </r>
    <r>
      <rPr>
        <vertAlign val="subscript"/>
        <sz val="10"/>
        <rFont val="Arial"/>
        <family val="2"/>
      </rPr>
      <t>dc</t>
    </r>
    <r>
      <rPr>
        <sz val="10"/>
        <rFont val="Arial"/>
        <family val="0"/>
      </rPr>
      <t xml:space="preserve"> of Filter Coil =</t>
    </r>
  </si>
  <si>
    <r>
      <t>Enter T</t>
    </r>
    <r>
      <rPr>
        <vertAlign val="subscript"/>
        <sz val="10"/>
        <rFont val="Arial"/>
        <family val="2"/>
      </rPr>
      <t>ambient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</si>
  <si>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in Inductors, total =</t>
    </r>
  </si>
  <si>
    <t>Dead Time =</t>
  </si>
  <si>
    <r>
      <t>R</t>
    </r>
    <r>
      <rPr>
        <vertAlign val="subscript"/>
        <sz val="10"/>
        <rFont val="Arial"/>
        <family val="2"/>
      </rPr>
      <t>DLY</t>
    </r>
    <r>
      <rPr>
        <sz val="10"/>
        <rFont val="Arial"/>
        <family val="0"/>
      </rPr>
      <t>Value =</t>
    </r>
  </si>
  <si>
    <t>nSec</t>
  </si>
  <si>
    <r>
      <t>V</t>
    </r>
    <r>
      <rPr>
        <sz val="8"/>
        <rFont val="Arial"/>
        <family val="2"/>
      </rPr>
      <t>R</t>
    </r>
    <r>
      <rPr>
        <vertAlign val="subscript"/>
        <sz val="10"/>
        <rFont val="Arial"/>
        <family val="2"/>
      </rPr>
      <t>ds(on)</t>
    </r>
    <r>
      <rPr>
        <sz val="10"/>
        <rFont val="Arial"/>
        <family val="0"/>
      </rPr>
      <t xml:space="preserve"> peak =</t>
    </r>
  </si>
  <si>
    <r>
      <t>m</t>
    </r>
    <r>
      <rPr>
        <sz val="10"/>
        <rFont val="Arial"/>
        <family val="0"/>
      </rPr>
      <t>H</t>
    </r>
  </si>
  <si>
    <r>
      <t>Capacitor (C</t>
    </r>
    <r>
      <rPr>
        <vertAlign val="subscript"/>
        <sz val="10"/>
        <rFont val="Arial"/>
        <family val="2"/>
      </rPr>
      <t>BYP</t>
    </r>
    <r>
      <rPr>
        <sz val="10"/>
        <rFont val="Arial"/>
        <family val="0"/>
      </rPr>
      <t>) =</t>
    </r>
  </si>
  <si>
    <r>
      <t>m</t>
    </r>
    <r>
      <rPr>
        <sz val="10"/>
        <rFont val="Arial"/>
        <family val="2"/>
      </rPr>
      <t>F</t>
    </r>
  </si>
  <si>
    <t>3dB point =</t>
  </si>
  <si>
    <t>OR</t>
  </si>
  <si>
    <t>Q Factor of Filter =</t>
  </si>
  <si>
    <t>Efficiency of Class D =</t>
  </si>
  <si>
    <t xml:space="preserve">Heat Sink Size: ' T ' or ' TF' </t>
  </si>
  <si>
    <t>Enter 3dB Frequency to Calculate L &amp; C</t>
  </si>
  <si>
    <t>Enter L &amp; C to Calculate Filter Response</t>
  </si>
  <si>
    <t>Output Filter Calculations</t>
  </si>
  <si>
    <t>Misc. External Calculations</t>
  </si>
  <si>
    <t>Enter Start Up Delay =</t>
  </si>
  <si>
    <r>
      <t>m</t>
    </r>
    <r>
      <rPr>
        <sz val="10"/>
        <rFont val="Arial"/>
        <family val="0"/>
      </rPr>
      <t>F</t>
    </r>
  </si>
  <si>
    <r>
      <t>Coil/Inductor (L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</si>
  <si>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SCKT</t>
    </r>
    <r>
      <rPr>
        <sz val="10"/>
        <rFont val="Arial"/>
        <family val="0"/>
      </rPr>
      <t xml:space="preserve"> value = </t>
    </r>
  </si>
  <si>
    <r>
      <t>C</t>
    </r>
    <r>
      <rPr>
        <vertAlign val="subscript"/>
        <sz val="10"/>
        <rFont val="Arial"/>
        <family val="2"/>
      </rPr>
      <t>Start-up</t>
    </r>
    <r>
      <rPr>
        <sz val="10"/>
        <rFont val="Arial"/>
        <family val="0"/>
      </rPr>
      <t xml:space="preserve"> value =</t>
    </r>
  </si>
  <si>
    <t>Sec.</t>
  </si>
  <si>
    <t>Note: All calculations on this spreadsheet are approximate calculations. Performance should be verified using the evaluation board.</t>
  </si>
  <si>
    <t>Values base on Output filter design</t>
  </si>
  <si>
    <t>Feedback Filter Calculation</t>
  </si>
  <si>
    <r>
      <t>R</t>
    </r>
    <r>
      <rPr>
        <vertAlign val="subscript"/>
        <sz val="10"/>
        <rFont val="Arial"/>
        <family val="2"/>
      </rPr>
      <t>FL1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</si>
  <si>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FL2</t>
    </r>
    <r>
      <rPr>
        <sz val="10"/>
        <rFont val="Arial"/>
        <family val="0"/>
      </rPr>
      <t xml:space="preserve"> = </t>
    </r>
  </si>
  <si>
    <r>
      <t>C</t>
    </r>
    <r>
      <rPr>
        <vertAlign val="subscript"/>
        <sz val="10"/>
        <rFont val="Arial"/>
        <family val="2"/>
      </rPr>
      <t>FL1</t>
    </r>
    <r>
      <rPr>
        <sz val="10"/>
        <rFont val="Arial"/>
        <family val="0"/>
      </rPr>
      <t xml:space="preserve"> = </t>
    </r>
  </si>
  <si>
    <r>
      <t>C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 </t>
    </r>
  </si>
  <si>
    <t>pF</t>
  </si>
  <si>
    <t>parameters calculated to the left.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</si>
  <si>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</si>
  <si>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</si>
  <si>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 </t>
    </r>
  </si>
  <si>
    <t xml:space="preserve">Gain = </t>
  </si>
  <si>
    <t>V/V</t>
  </si>
  <si>
    <t>dB</t>
  </si>
  <si>
    <r>
      <t>Enter Values for 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R</t>
    </r>
    <r>
      <rPr>
        <vertAlign val="subscript"/>
        <sz val="10"/>
        <rFont val="Arial"/>
        <family val="2"/>
      </rPr>
      <t>F</t>
    </r>
  </si>
  <si>
    <t>Enter the Gain in Volts/Volts</t>
  </si>
  <si>
    <r>
      <t>Enter C</t>
    </r>
    <r>
      <rPr>
        <vertAlign val="subscript"/>
        <sz val="10"/>
        <rFont val="Arial"/>
        <family val="2"/>
      </rPr>
      <t>Start-up</t>
    </r>
    <r>
      <rPr>
        <sz val="10"/>
        <rFont val="Arial"/>
        <family val="0"/>
      </rPr>
      <t xml:space="preserve"> =</t>
    </r>
  </si>
  <si>
    <t>Start Up Delay =</t>
  </si>
  <si>
    <t>O</t>
  </si>
  <si>
    <t>R</t>
  </si>
  <si>
    <t>' TF' =</t>
  </si>
  <si>
    <t>-3dB =</t>
  </si>
  <si>
    <t>Hz</t>
  </si>
  <si>
    <t>1% THD Output =</t>
  </si>
  <si>
    <t>Ripple Current</t>
  </si>
  <si>
    <t>mV</t>
  </si>
  <si>
    <r>
      <t>M</t>
    </r>
    <r>
      <rPr>
        <sz val="10"/>
        <rFont val="Symbol"/>
        <family val="1"/>
      </rPr>
      <t>W</t>
    </r>
  </si>
  <si>
    <r>
      <t>R</t>
    </r>
    <r>
      <rPr>
        <vertAlign val="subscript"/>
        <sz val="10"/>
        <rFont val="Arial"/>
        <family val="2"/>
      </rPr>
      <t>offset</t>
    </r>
    <r>
      <rPr>
        <sz val="10"/>
        <rFont val="Arial"/>
        <family val="0"/>
      </rPr>
      <t xml:space="preserve"> value for 0.0V </t>
    </r>
    <r>
      <rPr>
        <sz val="10"/>
        <rFont val="Symbol"/>
        <family val="1"/>
      </rPr>
      <t>@</t>
    </r>
  </si>
  <si>
    <t>Gain Calculations - A</t>
  </si>
  <si>
    <t>Gain Calculations - B</t>
  </si>
  <si>
    <r>
      <t>DC offset, load (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) =</t>
    </r>
  </si>
  <si>
    <r>
      <t>DC offset, load (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) =</t>
    </r>
  </si>
  <si>
    <r>
      <t xml:space="preserve">Below is DC offset for Gain section </t>
    </r>
    <r>
      <rPr>
        <b/>
        <sz val="10"/>
        <rFont val="Arial"/>
        <family val="2"/>
      </rPr>
      <t>B</t>
    </r>
  </si>
  <si>
    <r>
      <t>C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=</t>
    </r>
  </si>
  <si>
    <r>
      <t>C</t>
    </r>
    <r>
      <rPr>
        <sz val="8"/>
        <rFont val="Arial"/>
        <family val="2"/>
      </rPr>
      <t>lp</t>
    </r>
    <r>
      <rPr>
        <sz val="10"/>
        <rFont val="Arial"/>
        <family val="0"/>
      </rPr>
      <t xml:space="preserve"> =</t>
    </r>
  </si>
  <si>
    <r>
      <t>R</t>
    </r>
    <r>
      <rPr>
        <sz val="8"/>
        <rFont val="Arial"/>
        <family val="2"/>
      </rPr>
      <t>lp</t>
    </r>
    <r>
      <rPr>
        <sz val="10"/>
        <rFont val="Arial"/>
        <family val="0"/>
      </rPr>
      <t xml:space="preserve"> =</t>
    </r>
  </si>
  <si>
    <r>
      <t>3dB due to C</t>
    </r>
    <r>
      <rPr>
        <sz val="8"/>
        <rFont val="Arial"/>
        <family val="2"/>
      </rPr>
      <t>lp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) =</t>
    </r>
  </si>
  <si>
    <r>
      <t>3dB due to C</t>
    </r>
    <r>
      <rPr>
        <sz val="8"/>
        <rFont val="Arial"/>
        <family val="2"/>
      </rPr>
      <t>lp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) =</t>
    </r>
  </si>
  <si>
    <t>Power Supply Information</t>
  </si>
  <si>
    <t>VA</t>
  </si>
  <si>
    <t>Supply Regulation =</t>
  </si>
  <si>
    <r>
      <t xml:space="preserve">Transformer Power Rating </t>
    </r>
    <r>
      <rPr>
        <sz val="10"/>
        <rFont val="Symbol"/>
        <family val="1"/>
      </rPr>
      <t>@</t>
    </r>
  </si>
  <si>
    <t>Pout</t>
  </si>
  <si>
    <t>Sys. Eff.</t>
  </si>
  <si>
    <t>Pd FETs</t>
  </si>
  <si>
    <t>Pd Coils</t>
  </si>
  <si>
    <t>Pd drive</t>
  </si>
  <si>
    <t>Switch</t>
  </si>
  <si>
    <t>Rds(on)</t>
  </si>
  <si>
    <t>Total</t>
  </si>
  <si>
    <t>% Loss</t>
  </si>
  <si>
    <t>Pd Tot.</t>
  </si>
  <si>
    <t>Not Cls D</t>
  </si>
  <si>
    <r>
      <t>Capacitor (C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=</t>
    </r>
  </si>
  <si>
    <t>Rev 1.3</t>
  </si>
  <si>
    <t>Lower percentage means tighter</t>
  </si>
  <si>
    <t>regulation required.</t>
  </si>
  <si>
    <t>Best viewed when monitor is set to 1024x768 or higher resolution.</t>
  </si>
  <si>
    <t>Best viewed when set to 1024x768 or higher resolution.</t>
  </si>
  <si>
    <r>
      <t>Warnings</t>
    </r>
    <r>
      <rPr>
        <sz val="8"/>
        <rFont val="Arial"/>
        <family val="2"/>
      </rPr>
      <t xml:space="preserve"> are due to circuit values that may degrade audio performance. Values should be checks according to recommendations.</t>
    </r>
  </si>
  <si>
    <t xml:space="preserve">  Design Errors (Operational limits exceeded in design):  </t>
  </si>
  <si>
    <t xml:space="preserve">  Warnings and Recommended Actions (Changes not necessary):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</si>
</sst>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3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24.5"/>
      <name val="Arial"/>
      <family val="0"/>
    </font>
    <font>
      <sz val="16.75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9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medium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 style="thin"/>
      <bottom style="medium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2" fontId="0" fillId="3" borderId="2" xfId="0" applyNumberForma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2" fontId="0" fillId="5" borderId="4" xfId="0" applyNumberFormat="1" applyFill="1" applyBorder="1" applyAlignment="1" applyProtection="1">
      <alignment horizontal="center" vertical="center"/>
      <protection hidden="1" locked="0"/>
    </xf>
    <xf numFmtId="0" fontId="0" fillId="4" borderId="5" xfId="0" applyFill="1" applyBorder="1" applyAlignment="1" applyProtection="1">
      <alignment horizontal="center" vertical="center"/>
      <protection hidden="1"/>
    </xf>
    <xf numFmtId="2" fontId="0" fillId="3" borderId="6" xfId="0" applyNumberFormat="1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165" fontId="0" fillId="5" borderId="6" xfId="0" applyNumberFormat="1" applyFill="1" applyBorder="1" applyAlignment="1" applyProtection="1">
      <alignment horizontal="center" vertical="center"/>
      <protection hidden="1" locked="0"/>
    </xf>
    <xf numFmtId="0" fontId="1" fillId="4" borderId="8" xfId="0" applyFont="1" applyFill="1" applyBorder="1" applyAlignment="1" applyProtection="1">
      <alignment horizontal="center" vertical="center"/>
      <protection hidden="1"/>
    </xf>
    <xf numFmtId="2" fontId="0" fillId="5" borderId="9" xfId="0" applyNumberFormat="1" applyFill="1" applyBorder="1" applyAlignment="1" applyProtection="1">
      <alignment horizontal="center" vertical="center"/>
      <protection hidden="1" locked="0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2" fontId="0" fillId="3" borderId="12" xfId="0" applyNumberFormat="1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2" fontId="0" fillId="5" borderId="2" xfId="0" applyNumberFormat="1" applyFill="1" applyBorder="1" applyAlignment="1" applyProtection="1">
      <alignment horizontal="center" vertical="center"/>
      <protection hidden="1" locked="0"/>
    </xf>
    <xf numFmtId="0" fontId="1" fillId="4" borderId="3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2" fontId="0" fillId="3" borderId="9" xfId="0" applyNumberFormat="1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165" fontId="0" fillId="3" borderId="9" xfId="0" applyNumberFormat="1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164" fontId="0" fillId="5" borderId="9" xfId="0" applyNumberFormat="1" applyFill="1" applyBorder="1" applyAlignment="1" applyProtection="1">
      <alignment horizontal="center" vertical="center"/>
      <protection hidden="1" locked="0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165" fontId="0" fillId="5" borderId="12" xfId="0" applyNumberFormat="1" applyFill="1" applyBorder="1" applyAlignment="1" applyProtection="1">
      <alignment horizontal="center" vertical="center"/>
      <protection hidden="1" locked="0"/>
    </xf>
    <xf numFmtId="164" fontId="0" fillId="3" borderId="12" xfId="0" applyNumberForma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165" fontId="0" fillId="3" borderId="2" xfId="0" applyNumberForma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165" fontId="0" fillId="5" borderId="17" xfId="0" applyNumberFormat="1" applyFill="1" applyBorder="1" applyAlignment="1" applyProtection="1">
      <alignment horizontal="center" vertical="center"/>
      <protection hidden="1" locked="0"/>
    </xf>
    <xf numFmtId="0" fontId="0" fillId="4" borderId="18" xfId="0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  <xf numFmtId="165" fontId="0" fillId="3" borderId="4" xfId="0" applyNumberForma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2" fontId="0" fillId="4" borderId="19" xfId="0" applyNumberFormat="1" applyFill="1" applyBorder="1" applyAlignment="1" applyProtection="1">
      <alignment horizontal="right" vertical="center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2" fontId="0" fillId="5" borderId="6" xfId="0" applyNumberFormat="1" applyFill="1" applyBorder="1" applyAlignment="1" applyProtection="1">
      <alignment horizontal="center" vertical="center"/>
      <protection hidden="1" locked="0"/>
    </xf>
    <xf numFmtId="2" fontId="0" fillId="4" borderId="21" xfId="0" applyNumberFormat="1" applyFill="1" applyBorder="1" applyAlignment="1" applyProtection="1">
      <alignment horizontal="right" vertical="center"/>
      <protection hidden="1"/>
    </xf>
    <xf numFmtId="165" fontId="0" fillId="5" borderId="9" xfId="0" applyNumberFormat="1" applyFill="1" applyBorder="1" applyAlignment="1" applyProtection="1">
      <alignment horizontal="center" vertical="center"/>
      <protection hidden="1" locked="0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right" vertical="center"/>
      <protection hidden="1"/>
    </xf>
    <xf numFmtId="2" fontId="0" fillId="4" borderId="23" xfId="0" applyNumberFormat="1" applyFill="1" applyBorder="1" applyAlignment="1" applyProtection="1">
      <alignment horizontal="right" vertical="center"/>
      <protection hidden="1"/>
    </xf>
    <xf numFmtId="165" fontId="0" fillId="3" borderId="12" xfId="0" applyNumberFormat="1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2" fontId="0" fillId="4" borderId="25" xfId="0" applyNumberFormat="1" applyFill="1" applyBorder="1" applyAlignment="1" applyProtection="1">
      <alignment horizontal="right" vertical="center"/>
      <protection hidden="1"/>
    </xf>
    <xf numFmtId="0" fontId="0" fillId="4" borderId="26" xfId="0" applyFill="1" applyBorder="1" applyAlignment="1" applyProtection="1">
      <alignment horizontal="right"/>
      <protection hidden="1"/>
    </xf>
    <xf numFmtId="165" fontId="0" fillId="5" borderId="9" xfId="0" applyNumberFormat="1" applyFill="1" applyBorder="1" applyAlignment="1" applyProtection="1">
      <alignment horizontal="center"/>
      <protection hidden="1" locked="0"/>
    </xf>
    <xf numFmtId="0" fontId="0" fillId="4" borderId="27" xfId="0" applyFill="1" applyBorder="1" applyAlignment="1" applyProtection="1" quotePrefix="1">
      <alignment horizontal="right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 quotePrefix="1">
      <alignment horizontal="right"/>
      <protection hidden="1"/>
    </xf>
    <xf numFmtId="0" fontId="1" fillId="4" borderId="29" xfId="0" applyFont="1" applyFill="1" applyBorder="1" applyAlignment="1" applyProtection="1">
      <alignment horizontal="center" vertical="center"/>
      <protection hidden="1"/>
    </xf>
    <xf numFmtId="0" fontId="0" fillId="4" borderId="30" xfId="0" applyFont="1" applyFill="1" applyBorder="1" applyAlignment="1" applyProtection="1">
      <alignment horizontal="center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4" borderId="32" xfId="0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4" borderId="33" xfId="0" applyFont="1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/>
    </xf>
    <xf numFmtId="166" fontId="0" fillId="5" borderId="12" xfId="0" applyNumberFormat="1" applyFill="1" applyBorder="1" applyAlignment="1" applyProtection="1">
      <alignment horizontal="center" vertical="center"/>
      <protection hidden="1" locked="0"/>
    </xf>
    <xf numFmtId="0" fontId="1" fillId="4" borderId="15" xfId="0" applyFont="1" applyFill="1" applyBorder="1" applyAlignment="1" applyProtection="1">
      <alignment horizontal="center" vertical="center"/>
      <protection hidden="1"/>
    </xf>
    <xf numFmtId="2" fontId="0" fillId="4" borderId="35" xfId="0" applyNumberFormat="1" applyFill="1" applyBorder="1" applyAlignment="1" applyProtection="1">
      <alignment horizontal="right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164" fontId="0" fillId="3" borderId="2" xfId="0" applyNumberFormat="1" applyFill="1" applyBorder="1" applyAlignment="1" applyProtection="1">
      <alignment horizontal="center" vertical="center"/>
      <protection hidden="1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165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3" borderId="9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4" fontId="3" fillId="0" borderId="0" xfId="0" applyNumberFormat="1" applyFont="1" applyAlignment="1" applyProtection="1" quotePrefix="1">
      <alignment horizontal="center" vertical="center"/>
      <protection hidden="1"/>
    </xf>
    <xf numFmtId="2" fontId="0" fillId="5" borderId="12" xfId="0" applyNumberFormat="1" applyFill="1" applyBorder="1" applyAlignment="1" applyProtection="1">
      <alignment horizontal="center" vertical="center"/>
      <protection hidden="1" locked="0"/>
    </xf>
    <xf numFmtId="164" fontId="0" fillId="3" borderId="6" xfId="0" applyNumberForma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6" borderId="36" xfId="0" applyFill="1" applyBorder="1" applyAlignment="1" applyProtection="1">
      <alignment horizontal="center" vertical="center"/>
      <protection hidden="1"/>
    </xf>
    <xf numFmtId="0" fontId="0" fillId="6" borderId="37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7" borderId="38" xfId="0" applyFill="1" applyBorder="1" applyAlignment="1" applyProtection="1">
      <alignment horizontal="center" vertical="center"/>
      <protection hidden="1"/>
    </xf>
    <xf numFmtId="0" fontId="0" fillId="4" borderId="28" xfId="0" applyFill="1" applyBorder="1" applyAlignment="1" applyProtection="1">
      <alignment horizontal="right" vertical="center"/>
      <protection hidden="1"/>
    </xf>
    <xf numFmtId="0" fontId="0" fillId="4" borderId="39" xfId="0" applyFill="1" applyBorder="1" applyAlignment="1" applyProtection="1">
      <alignment horizontal="right" vertical="center"/>
      <protection hidden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4" borderId="42" xfId="0" applyFill="1" applyBorder="1" applyAlignment="1" applyProtection="1">
      <alignment horizontal="right" vertical="center"/>
      <protection hidden="1"/>
    </xf>
    <xf numFmtId="0" fontId="0" fillId="4" borderId="2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0" fillId="4" borderId="44" xfId="0" applyFill="1" applyBorder="1" applyAlignment="1" applyProtection="1">
      <alignment horizontal="right" vertical="center"/>
      <protection hidden="1"/>
    </xf>
    <xf numFmtId="0" fontId="0" fillId="4" borderId="6" xfId="0" applyFill="1" applyBorder="1" applyAlignment="1" applyProtection="1">
      <alignment horizontal="right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0" fillId="8" borderId="23" xfId="0" applyFill="1" applyBorder="1" applyAlignment="1" applyProtection="1">
      <alignment horizontal="center" vertical="center"/>
      <protection hidden="1"/>
    </xf>
    <xf numFmtId="0" fontId="0" fillId="8" borderId="9" xfId="0" applyFill="1" applyBorder="1" applyAlignment="1" applyProtection="1">
      <alignment horizontal="center" vertical="center"/>
      <protection hidden="1"/>
    </xf>
    <xf numFmtId="0" fontId="0" fillId="4" borderId="45" xfId="0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0" fillId="5" borderId="44" xfId="0" applyFill="1" applyBorder="1" applyAlignment="1" applyProtection="1">
      <alignment horizontal="right" vertical="center"/>
      <protection hidden="1"/>
    </xf>
    <xf numFmtId="0" fontId="0" fillId="5" borderId="6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46" xfId="0" applyFill="1" applyBorder="1" applyAlignment="1" applyProtection="1">
      <alignment horizontal="right" vertical="center"/>
      <protection hidden="1"/>
    </xf>
    <xf numFmtId="0" fontId="0" fillId="4" borderId="47" xfId="0" applyFill="1" applyBorder="1" applyAlignment="1" applyProtection="1">
      <alignment horizontal="right" vertical="center"/>
      <protection hidden="1"/>
    </xf>
    <xf numFmtId="0" fontId="0" fillId="4" borderId="26" xfId="0" applyFill="1" applyBorder="1" applyAlignment="1" applyProtection="1">
      <alignment horizontal="right" vertical="center"/>
      <protection hidden="1"/>
    </xf>
    <xf numFmtId="0" fontId="0" fillId="4" borderId="48" xfId="0" applyFill="1" applyBorder="1" applyAlignment="1" applyProtection="1">
      <alignment horizontal="right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0" fillId="5" borderId="43" xfId="0" applyFill="1" applyBorder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vertical="center"/>
      <protection hidden="1"/>
    </xf>
    <xf numFmtId="0" fontId="0" fillId="4" borderId="49" xfId="0" applyFill="1" applyBorder="1" applyAlignment="1" applyProtection="1">
      <alignment horizontal="right" vertical="center"/>
      <protection hidden="1"/>
    </xf>
    <xf numFmtId="0" fontId="0" fillId="4" borderId="4" xfId="0" applyFill="1" applyBorder="1" applyAlignment="1" applyProtection="1">
      <alignment horizontal="right" vertical="center"/>
      <protection hidden="1"/>
    </xf>
    <xf numFmtId="0" fontId="0" fillId="5" borderId="50" xfId="0" applyFill="1" applyBorder="1" applyAlignment="1" applyProtection="1">
      <alignment horizontal="center" vertical="center"/>
      <protection hidden="1"/>
    </xf>
    <xf numFmtId="0" fontId="0" fillId="5" borderId="51" xfId="0" applyFill="1" applyBorder="1" applyAlignment="1" applyProtection="1">
      <alignment horizontal="center" vertical="center"/>
      <protection hidden="1"/>
    </xf>
    <xf numFmtId="0" fontId="0" fillId="5" borderId="5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43" xfId="0" applyFont="1" applyFill="1" applyBorder="1" applyAlignment="1" applyProtection="1">
      <alignment horizontal="center" vertical="center"/>
      <protection hidden="1"/>
    </xf>
    <xf numFmtId="0" fontId="0" fillId="3" borderId="43" xfId="0" applyFont="1" applyFill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23" xfId="0" applyFill="1" applyBorder="1" applyAlignment="1" applyProtection="1" quotePrefix="1">
      <alignment horizontal="right" vertical="center"/>
      <protection hidden="1"/>
    </xf>
    <xf numFmtId="0" fontId="0" fillId="0" borderId="0" xfId="0" applyAlignment="1" applyProtection="1">
      <alignment/>
      <protection locked="0"/>
    </xf>
    <xf numFmtId="0" fontId="4" fillId="0" borderId="54" xfId="0" applyFont="1" applyBorder="1" applyAlignment="1" applyProtection="1">
      <alignment vertical="top"/>
      <protection hidden="1"/>
    </xf>
    <xf numFmtId="0" fontId="0" fillId="0" borderId="54" xfId="0" applyBorder="1" applyAlignment="1">
      <alignment/>
    </xf>
    <xf numFmtId="0" fontId="6" fillId="9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4" borderId="21" xfId="0" applyFill="1" applyBorder="1" applyAlignment="1" applyProtection="1">
      <alignment horizontal="right" vertical="center"/>
      <protection hidden="1"/>
    </xf>
    <xf numFmtId="0" fontId="0" fillId="4" borderId="55" xfId="0" applyFill="1" applyBorder="1" applyAlignment="1" applyProtection="1">
      <alignment horizontal="right" vertical="center"/>
      <protection hidden="1"/>
    </xf>
    <xf numFmtId="0" fontId="0" fillId="4" borderId="17" xfId="0" applyFill="1" applyBorder="1" applyAlignment="1" applyProtection="1">
      <alignment horizontal="right" vertical="center"/>
      <protection hidden="1"/>
    </xf>
    <xf numFmtId="0" fontId="0" fillId="4" borderId="56" xfId="0" applyFill="1" applyBorder="1" applyAlignment="1" applyProtection="1">
      <alignment horizontal="right" vertical="center"/>
      <protection hidden="1"/>
    </xf>
    <xf numFmtId="0" fontId="0" fillId="4" borderId="19" xfId="0" applyFill="1" applyBorder="1" applyAlignment="1" applyProtection="1">
      <alignment horizontal="right" vertical="center"/>
      <protection hidden="1"/>
    </xf>
    <xf numFmtId="0" fontId="0" fillId="4" borderId="57" xfId="0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5" borderId="49" xfId="0" applyFill="1" applyBorder="1" applyAlignment="1" applyProtection="1">
      <alignment horizontal="right" vertical="center"/>
      <protection hidden="1"/>
    </xf>
    <xf numFmtId="0" fontId="0" fillId="5" borderId="4" xfId="0" applyFill="1" applyBorder="1" applyAlignment="1" applyProtection="1">
      <alignment horizontal="right" vertical="center"/>
      <protection hidden="1"/>
    </xf>
    <xf numFmtId="0" fontId="4" fillId="8" borderId="3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5" borderId="38" xfId="0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8" borderId="43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4" borderId="58" xfId="0" applyFill="1" applyBorder="1" applyAlignment="1" applyProtection="1">
      <alignment horizontal="right" vertical="center"/>
      <protection hidden="1"/>
    </xf>
    <xf numFmtId="0" fontId="0" fillId="4" borderId="59" xfId="0" applyFill="1" applyBorder="1" applyAlignment="1" applyProtection="1">
      <alignment horizontal="right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4" borderId="60" xfId="0" applyFill="1" applyBorder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10" borderId="61" xfId="0" applyFill="1" applyBorder="1" applyAlignment="1" applyProtection="1">
      <alignment vertical="center"/>
      <protection hidden="1"/>
    </xf>
    <xf numFmtId="0" fontId="0" fillId="10" borderId="0" xfId="0" applyFill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11" borderId="37" xfId="0" applyFont="1" applyFill="1" applyBorder="1" applyAlignment="1" applyProtection="1">
      <alignment vertical="center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11" borderId="36" xfId="0" applyFont="1" applyFill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12" fillId="6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65"/>
          <c:w val="0.914"/>
          <c:h val="0.93175"/>
        </c:manualLayout>
      </c:layout>
      <c:lineChart>
        <c:grouping val="standard"/>
        <c:varyColors val="0"/>
        <c:ser>
          <c:idx val="1"/>
          <c:order val="0"/>
          <c:tx>
            <c:v>System Efficiency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'Efficiency Graph'!$B$9:$B$49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cat>
          <c:val>
            <c:numRef>
              <c:f>'Efficiency Graph'!$G$9:$G$49</c:f>
              <c:numCache>
                <c:ptCount val="41"/>
                <c:pt idx="0">
                  <c:v>0</c:v>
                </c:pt>
                <c:pt idx="1">
                  <c:v>57.55366890612296</c:v>
                </c:pt>
                <c:pt idx="2">
                  <c:v>69.41992126274265</c:v>
                </c:pt>
                <c:pt idx="3">
                  <c:v>74.54293853746745</c:v>
                </c:pt>
                <c:pt idx="4">
                  <c:v>76.65721247224309</c:v>
                </c:pt>
                <c:pt idx="5">
                  <c:v>78.59727800546014</c:v>
                </c:pt>
                <c:pt idx="6">
                  <c:v>79.41705600044811</c:v>
                </c:pt>
                <c:pt idx="7">
                  <c:v>80.47308196914985</c:v>
                </c:pt>
                <c:pt idx="8">
                  <c:v>80.87286455818244</c:v>
                </c:pt>
                <c:pt idx="9">
                  <c:v>81.55440350851946</c:v>
                </c:pt>
                <c:pt idx="10">
                  <c:v>81.7722538297508</c:v>
                </c:pt>
                <c:pt idx="11">
                  <c:v>82.25777789259477</c:v>
                </c:pt>
                <c:pt idx="12">
                  <c:v>82.38304316837983</c:v>
                </c:pt>
                <c:pt idx="13">
                  <c:v>82.75187937306919</c:v>
                </c:pt>
                <c:pt idx="14">
                  <c:v>83.07066343741315</c:v>
                </c:pt>
                <c:pt idx="15">
                  <c:v>83.11800973372523</c:v>
                </c:pt>
                <c:pt idx="16">
                  <c:v>83.15948203754992</c:v>
                </c:pt>
                <c:pt idx="17">
                  <c:v>83.19610963076163</c:v>
                </c:pt>
                <c:pt idx="18">
                  <c:v>83.22869458887665</c:v>
                </c:pt>
                <c:pt idx="19">
                  <c:v>83.25787119491372</c:v>
                </c:pt>
                <c:pt idx="20">
                  <c:v>83.28414763597816</c:v>
                </c:pt>
                <c:pt idx="21">
                  <c:v>83.30793585459175</c:v>
                </c:pt>
                <c:pt idx="22">
                  <c:v>83.32957330315548</c:v>
                </c:pt>
                <c:pt idx="23">
                  <c:v>83.34933905295009</c:v>
                </c:pt>
                <c:pt idx="24">
                  <c:v>83.36746589603084</c:v>
                </c:pt>
                <c:pt idx="25">
                  <c:v>83.38414955661747</c:v>
                </c:pt>
                <c:pt idx="26">
                  <c:v>83.39955578659752</c:v>
                </c:pt>
                <c:pt idx="27">
                  <c:v>83.41382589126582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65670165"/>
        <c:axId val="54160574"/>
      </c:lineChart>
      <c:lineChart>
        <c:grouping val="standard"/>
        <c:varyColors val="0"/>
        <c:ser>
          <c:idx val="2"/>
          <c:order val="1"/>
          <c:tx>
            <c:v>Pd in LM4652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'Efficiency Graph'!$B$9:$B$49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cat>
          <c:val>
            <c:numRef>
              <c:f>'Efficiency Graph'!$C$9:$C$49</c:f>
              <c:numCache>
                <c:ptCount val="41"/>
                <c:pt idx="0">
                  <c:v>2</c:v>
                </c:pt>
                <c:pt idx="1">
                  <c:v>2.8550434616611664</c:v>
                </c:pt>
                <c:pt idx="2">
                  <c:v>3.460086923322333</c:v>
                </c:pt>
                <c:pt idx="3">
                  <c:v>4.065130384983499</c:v>
                </c:pt>
                <c:pt idx="4">
                  <c:v>4.920173846644666</c:v>
                </c:pt>
                <c:pt idx="5">
                  <c:v>5.525217308305832</c:v>
                </c:pt>
                <c:pt idx="6">
                  <c:v>6.380260769966998</c:v>
                </c:pt>
                <c:pt idx="7">
                  <c:v>6.985304231628165</c:v>
                </c:pt>
                <c:pt idx="8">
                  <c:v>7.840347693289331</c:v>
                </c:pt>
                <c:pt idx="9">
                  <c:v>8.445391154950498</c:v>
                </c:pt>
                <c:pt idx="10">
                  <c:v>9.300434616611664</c:v>
                </c:pt>
                <c:pt idx="11">
                  <c:v>9.90547807827283</c:v>
                </c:pt>
                <c:pt idx="12">
                  <c:v>10.760521539933997</c:v>
                </c:pt>
                <c:pt idx="13">
                  <c:v>11.365565001595163</c:v>
                </c:pt>
                <c:pt idx="14">
                  <c:v>11.97060846325633</c:v>
                </c:pt>
                <c:pt idx="15">
                  <c:v>12.825651924917496</c:v>
                </c:pt>
                <c:pt idx="16">
                  <c:v>13.680695386578662</c:v>
                </c:pt>
                <c:pt idx="17">
                  <c:v>14.535738848239829</c:v>
                </c:pt>
                <c:pt idx="18">
                  <c:v>15.390782309900995</c:v>
                </c:pt>
                <c:pt idx="19">
                  <c:v>16.24582577156216</c:v>
                </c:pt>
                <c:pt idx="20">
                  <c:v>17.100869233223328</c:v>
                </c:pt>
                <c:pt idx="21">
                  <c:v>17.955912694884493</c:v>
                </c:pt>
                <c:pt idx="22">
                  <c:v>18.81095615654566</c:v>
                </c:pt>
                <c:pt idx="23">
                  <c:v>19.665999618206826</c:v>
                </c:pt>
                <c:pt idx="24">
                  <c:v>20.521043079867994</c:v>
                </c:pt>
                <c:pt idx="25">
                  <c:v>21.376086541529162</c:v>
                </c:pt>
                <c:pt idx="26">
                  <c:v>22.231130003190327</c:v>
                </c:pt>
                <c:pt idx="27">
                  <c:v>23.08617346485149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17683119"/>
        <c:axId val="24930344"/>
      </c:lineChart>
      <c:catAx>
        <c:axId val="656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Output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tickLblSkip val="2"/>
        <c:tickMarkSkip val="2"/>
        <c:noMultiLvlLbl val="0"/>
      </c:catAx>
      <c:valAx>
        <c:axId val="541605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System Efficiency (%)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At val="1"/>
        <c:crossBetween val="midCat"/>
        <c:dispUnits/>
        <c:minorUnit val="5"/>
      </c:valAx>
      <c:catAx>
        <c:axId val="17683119"/>
        <c:scaling>
          <c:orientation val="minMax"/>
        </c:scaling>
        <c:axPos val="b"/>
        <c:delete val="1"/>
        <c:majorTickMark val="in"/>
        <c:minorTickMark val="none"/>
        <c:tickLblPos val="nextTo"/>
        <c:crossAx val="24930344"/>
        <c:crossesAt val="0"/>
        <c:auto val="1"/>
        <c:lblOffset val="100"/>
        <c:noMultiLvlLbl val="0"/>
      </c:catAx>
      <c:valAx>
        <c:axId val="2493034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Power Dissipation in LM4652 (W)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max"/>
        <c:crossBetween val="midCat"/>
        <c:dispUnits/>
        <c:majorUnit val="5"/>
        <c:minorUnit val="1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71525"/>
          <c:y val="0.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114300</xdr:rowOff>
    </xdr:from>
    <xdr:to>
      <xdr:col>16</xdr:col>
      <xdr:colOff>123825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14300" y="1000125"/>
        <a:ext cx="8953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3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.7109375" style="0" customWidth="1"/>
    <col min="2" max="2" width="8.7109375" style="0" customWidth="1"/>
    <col min="3" max="3" width="11.28125" style="0" customWidth="1"/>
    <col min="4" max="4" width="7.421875" style="0" customWidth="1"/>
    <col min="5" max="5" width="5.7109375" style="0" customWidth="1"/>
    <col min="6" max="6" width="2.7109375" style="0" customWidth="1"/>
    <col min="7" max="7" width="10.57421875" style="0" customWidth="1"/>
    <col min="8" max="8" width="8.8515625" style="0" customWidth="1"/>
    <col min="9" max="9" width="7.421875" style="0" customWidth="1"/>
    <col min="10" max="10" width="6.140625" style="0" customWidth="1"/>
    <col min="11" max="11" width="1.8515625" style="0" customWidth="1"/>
    <col min="13" max="13" width="7.57421875" style="0" customWidth="1"/>
    <col min="15" max="15" width="8.28125" style="0" customWidth="1"/>
    <col min="16" max="16" width="2.28125" style="0" customWidth="1"/>
    <col min="18" max="18" width="7.57421875" style="0" customWidth="1"/>
    <col min="19" max="19" width="8.28125" style="0" customWidth="1"/>
    <col min="20" max="20" width="5.28125" style="0" customWidth="1"/>
  </cols>
  <sheetData>
    <row r="1" spans="1:22" ht="15" customHeight="1">
      <c r="A1" s="6"/>
      <c r="B1" s="154" t="s">
        <v>56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Q1" s="155"/>
      <c r="R1" s="156"/>
      <c r="S1" s="156"/>
      <c r="T1" s="156"/>
      <c r="U1" s="61"/>
      <c r="V1" s="1"/>
    </row>
    <row r="2" spans="1:22" ht="15.75" customHeight="1">
      <c r="A2" s="6"/>
      <c r="B2" s="64" t="s">
        <v>111</v>
      </c>
      <c r="C2" s="65" t="s">
        <v>11</v>
      </c>
      <c r="D2" s="66">
        <v>37105</v>
      </c>
      <c r="E2" s="133" t="s">
        <v>115</v>
      </c>
      <c r="F2" s="133"/>
      <c r="G2" s="133"/>
      <c r="H2" s="133"/>
      <c r="I2" s="133"/>
      <c r="J2" s="134"/>
      <c r="K2" s="7"/>
      <c r="L2" s="104" t="str">
        <f>+IF(AND('Warnings &amp; Errors'!$C$5="",'Warnings &amp; Errors'!$C$6="",'Warnings &amp; Errors'!$C$7="",'Warnings &amp; Errors'!$C$8="",'Warnings &amp; Errors'!$C$9="",'Warnings &amp; Errors'!$C$10="",'Warnings &amp; Errors'!$C$11="",'Warnings &amp; Errors'!$C$12=""),"No Warnings with this design.","Warning found! Please check!")</f>
        <v>No Warnings with this design.</v>
      </c>
      <c r="M2" s="101"/>
      <c r="N2" s="101"/>
      <c r="O2" s="101"/>
      <c r="P2" s="111" t="str">
        <f>+IF(AND('Warnings &amp; Errors'!$C$15="",'Warnings &amp; Errors'!$C$16="",'Warnings &amp; Errors'!$C$17=""),"No Errors with this design.","Error found! Check errors for correction.")</f>
        <v>No Errors with this design.</v>
      </c>
      <c r="Q2" s="103"/>
      <c r="R2" s="103"/>
      <c r="S2" s="103"/>
      <c r="T2" s="103"/>
      <c r="U2" s="62"/>
      <c r="V2" s="1"/>
    </row>
    <row r="3" spans="1:22" ht="15.75">
      <c r="A3" s="6"/>
      <c r="B3" s="136" t="s">
        <v>10</v>
      </c>
      <c r="C3" s="136"/>
      <c r="D3" s="136"/>
      <c r="E3" s="137"/>
      <c r="F3" s="137"/>
      <c r="G3" s="137"/>
      <c r="H3" s="137"/>
      <c r="I3" s="137"/>
      <c r="J3" s="137"/>
      <c r="K3" s="7"/>
      <c r="L3" s="136" t="s">
        <v>48</v>
      </c>
      <c r="M3" s="136"/>
      <c r="N3" s="136"/>
      <c r="O3" s="136"/>
      <c r="P3" s="163"/>
      <c r="Q3" s="136" t="s">
        <v>58</v>
      </c>
      <c r="R3" s="136"/>
      <c r="S3" s="136"/>
      <c r="T3" s="136"/>
      <c r="U3" s="62"/>
      <c r="V3" s="1"/>
    </row>
    <row r="4" spans="1:22" ht="13.5" thickBot="1">
      <c r="A4" s="6"/>
      <c r="B4" s="140" t="s">
        <v>0</v>
      </c>
      <c r="C4" s="141"/>
      <c r="D4" s="141"/>
      <c r="E4" s="142"/>
      <c r="F4" s="143"/>
      <c r="G4" s="100" t="s">
        <v>1</v>
      </c>
      <c r="H4" s="100"/>
      <c r="I4" s="100"/>
      <c r="J4" s="113"/>
      <c r="K4" s="7"/>
      <c r="L4" s="135" t="s">
        <v>47</v>
      </c>
      <c r="M4" s="135"/>
      <c r="N4" s="135"/>
      <c r="O4" s="135"/>
      <c r="P4" s="143"/>
      <c r="Q4" s="100" t="s">
        <v>57</v>
      </c>
      <c r="R4" s="100"/>
      <c r="S4" s="100"/>
      <c r="T4" s="100"/>
      <c r="U4" s="62"/>
      <c r="V4" s="1"/>
    </row>
    <row r="5" spans="1:22" ht="15" customHeight="1" thickBot="1">
      <c r="A5" s="6"/>
      <c r="B5" s="138" t="s">
        <v>14</v>
      </c>
      <c r="C5" s="139"/>
      <c r="D5" s="8">
        <v>20</v>
      </c>
      <c r="E5" s="9" t="s">
        <v>2</v>
      </c>
      <c r="F5" s="143"/>
      <c r="G5" s="117" t="s">
        <v>23</v>
      </c>
      <c r="H5" s="118"/>
      <c r="I5" s="10">
        <f>+((($D$5*(1-((0.0004+(2*($I$10/1000000)))*$D$9)))-0.22-$I$7)+(($D$6*(1-((0.0004+(2*($I$10/1000000)))*$D$9)))-0.22-$I$7))-2*($D$8*$I$6)</f>
        <v>32.80279542728059</v>
      </c>
      <c r="J5" s="11" t="s">
        <v>2</v>
      </c>
      <c r="K5" s="7"/>
      <c r="L5" s="129" t="s">
        <v>52</v>
      </c>
      <c r="M5" s="118"/>
      <c r="N5" s="12">
        <v>50</v>
      </c>
      <c r="O5" s="13" t="s">
        <v>38</v>
      </c>
      <c r="P5" s="143"/>
      <c r="Q5" s="112" t="s">
        <v>64</v>
      </c>
      <c r="R5" s="112"/>
      <c r="S5" s="112"/>
      <c r="T5" s="112"/>
      <c r="U5" s="62"/>
      <c r="V5" s="1"/>
    </row>
    <row r="6" spans="1:22" ht="15" customHeight="1">
      <c r="A6" s="6"/>
      <c r="B6" s="102" t="s">
        <v>5</v>
      </c>
      <c r="C6" s="99"/>
      <c r="D6" s="8">
        <v>20</v>
      </c>
      <c r="E6" s="15" t="s">
        <v>2</v>
      </c>
      <c r="F6" s="143"/>
      <c r="G6" s="126" t="s">
        <v>13</v>
      </c>
      <c r="H6" s="127"/>
      <c r="I6" s="17">
        <f>+SQRT($I$8/$D$7)*(SQRT(2))</f>
        <v>8.200698856356249</v>
      </c>
      <c r="J6" s="18" t="s">
        <v>12</v>
      </c>
      <c r="K6" s="7"/>
      <c r="L6" s="160" t="s">
        <v>39</v>
      </c>
      <c r="M6" s="127"/>
      <c r="N6" s="92">
        <v>4.7</v>
      </c>
      <c r="O6" s="71" t="s">
        <v>40</v>
      </c>
      <c r="P6" s="143"/>
      <c r="Q6" s="117" t="s">
        <v>59</v>
      </c>
      <c r="R6" s="118"/>
      <c r="S6" s="21">
        <v>620</v>
      </c>
      <c r="T6" s="22" t="s">
        <v>9</v>
      </c>
      <c r="U6" s="62"/>
      <c r="V6" s="1"/>
    </row>
    <row r="7" spans="1:22" ht="15" customHeight="1" thickBot="1">
      <c r="A7" s="6"/>
      <c r="B7" s="102" t="s">
        <v>6</v>
      </c>
      <c r="C7" s="99"/>
      <c r="D7" s="14">
        <v>4</v>
      </c>
      <c r="E7" s="23" t="s">
        <v>4</v>
      </c>
      <c r="F7" s="143"/>
      <c r="G7" s="102" t="s">
        <v>37</v>
      </c>
      <c r="H7" s="99"/>
      <c r="I7" s="24">
        <f>0.25*$I$6</f>
        <v>2.0501747140890623</v>
      </c>
      <c r="J7" s="25" t="s">
        <v>2</v>
      </c>
      <c r="K7" s="7"/>
      <c r="L7" s="109" t="s">
        <v>110</v>
      </c>
      <c r="M7" s="110"/>
      <c r="N7" s="19">
        <v>1</v>
      </c>
      <c r="O7" s="20" t="s">
        <v>40</v>
      </c>
      <c r="P7" s="143"/>
      <c r="Q7" s="102" t="s">
        <v>60</v>
      </c>
      <c r="R7" s="99"/>
      <c r="S7" s="26">
        <v>62</v>
      </c>
      <c r="T7" s="27" t="s">
        <v>9</v>
      </c>
      <c r="U7" s="62"/>
      <c r="V7" s="1"/>
    </row>
    <row r="8" spans="1:22" ht="15" customHeight="1">
      <c r="A8" s="6"/>
      <c r="B8" s="102" t="s">
        <v>31</v>
      </c>
      <c r="C8" s="99"/>
      <c r="D8" s="28">
        <v>0.045</v>
      </c>
      <c r="E8" s="23" t="s">
        <v>4</v>
      </c>
      <c r="F8" s="143"/>
      <c r="G8" s="102" t="s">
        <v>80</v>
      </c>
      <c r="H8" s="99"/>
      <c r="I8" s="24">
        <f>+(($I$5*$I$5)/2)/$D$7</f>
        <v>134.50292348050257</v>
      </c>
      <c r="J8" s="25" t="s">
        <v>8</v>
      </c>
      <c r="K8" s="7"/>
      <c r="L8" s="128" t="s">
        <v>41</v>
      </c>
      <c r="M8" s="129"/>
      <c r="N8" s="21">
        <f>1/((2*PI())*SQRT(($N$6+0.5*$N$7)/1000000*2*$N$5/1000000))</f>
        <v>6979.405957555034</v>
      </c>
      <c r="O8" s="22" t="s">
        <v>79</v>
      </c>
      <c r="P8" s="143"/>
      <c r="Q8" s="102" t="s">
        <v>61</v>
      </c>
      <c r="R8" s="99"/>
      <c r="S8" s="26">
        <f>(1/(2*PI()*$S$7*1000*($N$8+5000)))*1000000000000</f>
        <v>214.28568497093687</v>
      </c>
      <c r="T8" s="29" t="s">
        <v>63</v>
      </c>
      <c r="U8" s="62"/>
      <c r="V8" s="1"/>
    </row>
    <row r="9" spans="1:22" ht="15" customHeight="1" thickBot="1">
      <c r="A9" s="6"/>
      <c r="B9" s="126" t="s">
        <v>7</v>
      </c>
      <c r="C9" s="127"/>
      <c r="D9" s="30">
        <v>100</v>
      </c>
      <c r="E9" s="27" t="s">
        <v>3</v>
      </c>
      <c r="F9" s="143"/>
      <c r="G9" s="126" t="s">
        <v>25</v>
      </c>
      <c r="H9" s="127"/>
      <c r="I9" s="17">
        <f>+IF($D$10=0,((1000/$D$9)-4),IF($D$10&lt;0.5,((1000/$D$9)-3.5),((1000/$D$9)-2.5)))</f>
        <v>7.5</v>
      </c>
      <c r="J9" s="18" t="s">
        <v>9</v>
      </c>
      <c r="K9" s="7"/>
      <c r="L9" s="130" t="s">
        <v>43</v>
      </c>
      <c r="M9" s="131"/>
      <c r="N9" s="31">
        <f>+(2*PI()*$N$8)*(($N$6+0.5*$N$7)/1000000)*(($D$7+(2*$D$8)))</f>
        <v>0.9326634977310948</v>
      </c>
      <c r="O9" s="27"/>
      <c r="P9" s="143"/>
      <c r="Q9" s="105" t="s">
        <v>62</v>
      </c>
      <c r="R9" s="106"/>
      <c r="S9" s="26">
        <f>(1/(2*PI()*($M$22+$D$28)*1000*($N$8+35000)))*1000000000000</f>
        <v>421.25137701200794</v>
      </c>
      <c r="T9" s="32" t="s">
        <v>63</v>
      </c>
      <c r="U9" s="62"/>
      <c r="V9" s="1"/>
    </row>
    <row r="10" spans="1:22" ht="14.25" customHeight="1" thickBot="1">
      <c r="A10" s="6"/>
      <c r="B10" s="122" t="s">
        <v>35</v>
      </c>
      <c r="C10" s="110"/>
      <c r="D10" s="19">
        <v>5.1</v>
      </c>
      <c r="E10" s="5" t="s">
        <v>9</v>
      </c>
      <c r="F10" s="143"/>
      <c r="G10" s="122" t="s">
        <v>34</v>
      </c>
      <c r="H10" s="110"/>
      <c r="I10" s="33">
        <f>22+($D$10*3.5)</f>
        <v>39.849999999999994</v>
      </c>
      <c r="J10" s="34" t="s">
        <v>36</v>
      </c>
      <c r="K10" s="7"/>
      <c r="L10" s="109" t="s">
        <v>81</v>
      </c>
      <c r="M10" s="110"/>
      <c r="N10" s="4">
        <f>+$D$5/($N$5*4*$D$9*0.001)</f>
        <v>1</v>
      </c>
      <c r="O10" s="5" t="s">
        <v>12</v>
      </c>
      <c r="P10" s="143"/>
      <c r="Q10" s="119" t="s">
        <v>42</v>
      </c>
      <c r="R10" s="115"/>
      <c r="S10" s="115"/>
      <c r="T10" s="115"/>
      <c r="U10" s="62"/>
      <c r="V10" s="1"/>
    </row>
    <row r="11" spans="1:22" ht="14.25" customHeight="1">
      <c r="A11" s="6"/>
      <c r="B11" s="143"/>
      <c r="C11" s="143"/>
      <c r="D11" s="143"/>
      <c r="E11" s="143"/>
      <c r="F11" s="143"/>
      <c r="G11" s="143"/>
      <c r="H11" s="143"/>
      <c r="I11" s="143"/>
      <c r="J11" s="146"/>
      <c r="K11" s="7"/>
      <c r="L11" s="132" t="s">
        <v>42</v>
      </c>
      <c r="M11" s="103"/>
      <c r="N11" s="103"/>
      <c r="O11" s="103"/>
      <c r="P11" s="143"/>
      <c r="Q11" s="116"/>
      <c r="R11" s="116"/>
      <c r="S11" s="116"/>
      <c r="T11" s="116"/>
      <c r="U11" s="62"/>
      <c r="V11" s="1"/>
    </row>
    <row r="12" spans="1:22" ht="15.75" customHeight="1" thickBot="1">
      <c r="A12" s="6"/>
      <c r="B12" s="136" t="s">
        <v>30</v>
      </c>
      <c r="C12" s="136"/>
      <c r="D12" s="136"/>
      <c r="E12" s="136"/>
      <c r="F12" s="136"/>
      <c r="G12" s="136"/>
      <c r="H12" s="136"/>
      <c r="I12" s="136"/>
      <c r="J12" s="136"/>
      <c r="K12" s="7"/>
      <c r="L12" s="135" t="s">
        <v>46</v>
      </c>
      <c r="M12" s="135"/>
      <c r="N12" s="135"/>
      <c r="O12" s="135"/>
      <c r="P12" s="143"/>
      <c r="Q12" s="100" t="s">
        <v>57</v>
      </c>
      <c r="R12" s="100"/>
      <c r="S12" s="100"/>
      <c r="T12" s="100"/>
      <c r="U12" s="62"/>
      <c r="V12" s="1"/>
    </row>
    <row r="13" spans="1:22" ht="14.25" customHeight="1" thickBot="1">
      <c r="A13" s="6"/>
      <c r="B13" s="144" t="s">
        <v>20</v>
      </c>
      <c r="C13" s="145"/>
      <c r="D13" s="145"/>
      <c r="E13" s="145"/>
      <c r="F13" s="147"/>
      <c r="G13" s="123" t="s">
        <v>21</v>
      </c>
      <c r="H13" s="123"/>
      <c r="I13" s="123"/>
      <c r="J13" s="123"/>
      <c r="K13" s="7"/>
      <c r="L13" s="158" t="s">
        <v>41</v>
      </c>
      <c r="M13" s="159"/>
      <c r="N13" s="35">
        <v>7000</v>
      </c>
      <c r="O13" s="36" t="s">
        <v>79</v>
      </c>
      <c r="P13" s="143"/>
      <c r="Q13" s="112" t="s">
        <v>64</v>
      </c>
      <c r="R13" s="112"/>
      <c r="S13" s="112"/>
      <c r="T13" s="112"/>
      <c r="U13" s="62"/>
      <c r="V13" s="1"/>
    </row>
    <row r="14" spans="1:22" ht="15" customHeight="1">
      <c r="A14" s="6"/>
      <c r="B14" s="117" t="s">
        <v>15</v>
      </c>
      <c r="C14" s="118"/>
      <c r="D14" s="10">
        <f>+$I$8/($I$8+$D$16)*100</f>
        <v>83.41249764577783</v>
      </c>
      <c r="E14" s="22" t="s">
        <v>18</v>
      </c>
      <c r="F14" s="143"/>
      <c r="G14" s="124" t="s">
        <v>32</v>
      </c>
      <c r="H14" s="125"/>
      <c r="I14" s="12">
        <v>25</v>
      </c>
      <c r="J14" s="11" t="s">
        <v>19</v>
      </c>
      <c r="K14" s="7"/>
      <c r="L14" s="161" t="s">
        <v>43</v>
      </c>
      <c r="M14" s="118"/>
      <c r="N14" s="93">
        <f>+(2*PI()*$N$13)*(($N$16+0.5*$N$17)/1000000)*$D$7</f>
        <v>0.7071067811865475</v>
      </c>
      <c r="O14" s="94"/>
      <c r="P14" s="143"/>
      <c r="Q14" s="117" t="s">
        <v>59</v>
      </c>
      <c r="R14" s="118"/>
      <c r="S14" s="21">
        <v>620</v>
      </c>
      <c r="T14" s="22" t="s">
        <v>9</v>
      </c>
      <c r="U14" s="62"/>
      <c r="V14" s="1"/>
    </row>
    <row r="15" spans="1:22" ht="15" customHeight="1">
      <c r="A15" s="6"/>
      <c r="B15" s="102" t="s">
        <v>44</v>
      </c>
      <c r="C15" s="99"/>
      <c r="D15" s="24">
        <f>+$I$8/($I$8+$D$18+$D$19)*100</f>
        <v>85.00789426207082</v>
      </c>
      <c r="E15" s="15" t="s">
        <v>18</v>
      </c>
      <c r="F15" s="143"/>
      <c r="G15" s="120" t="s">
        <v>45</v>
      </c>
      <c r="H15" s="121"/>
      <c r="I15" s="121"/>
      <c r="J15" s="37" t="s">
        <v>26</v>
      </c>
      <c r="K15" s="7"/>
      <c r="L15" s="162" t="s">
        <v>52</v>
      </c>
      <c r="M15" s="139"/>
      <c r="N15" s="38">
        <f>+(SQRT(2)*$D$7)/(4*PI()*$N$13)*1000000</f>
        <v>64.30830829693615</v>
      </c>
      <c r="O15" s="39" t="s">
        <v>38</v>
      </c>
      <c r="P15" s="143"/>
      <c r="Q15" s="102" t="s">
        <v>60</v>
      </c>
      <c r="R15" s="99"/>
      <c r="S15" s="26">
        <v>62</v>
      </c>
      <c r="T15" s="27" t="s">
        <v>9</v>
      </c>
      <c r="U15" s="62"/>
      <c r="V15" s="1"/>
    </row>
    <row r="16" spans="1:22" ht="15" customHeight="1">
      <c r="A16" s="6"/>
      <c r="B16" s="102" t="s">
        <v>22</v>
      </c>
      <c r="C16" s="99"/>
      <c r="D16" s="24">
        <f>+$D$17+$D$18+$D$19</f>
        <v>26.7474212585105</v>
      </c>
      <c r="E16" s="15" t="s">
        <v>8</v>
      </c>
      <c r="F16" s="143"/>
      <c r="G16" s="102" t="s">
        <v>27</v>
      </c>
      <c r="H16" s="99"/>
      <c r="I16" s="24">
        <f>+((150-$I$14)/$D$18)-1</f>
        <v>4.434519110461786</v>
      </c>
      <c r="J16" s="25" t="s">
        <v>24</v>
      </c>
      <c r="K16" s="7"/>
      <c r="L16" s="160" t="s">
        <v>39</v>
      </c>
      <c r="M16" s="127"/>
      <c r="N16" s="17">
        <f>+(1/(SQRT(2)*$D$7*2*PI()*$N$13))*1000000-(0.5*$N$17)</f>
        <v>3.519269268558509</v>
      </c>
      <c r="O16" s="71" t="s">
        <v>40</v>
      </c>
      <c r="P16" s="143"/>
      <c r="Q16" s="102" t="s">
        <v>61</v>
      </c>
      <c r="R16" s="99"/>
      <c r="S16" s="26">
        <f>(1/(2*PI()*$S$15*1000*($N$13+5000)))*1000000000000</f>
        <v>213.9179342633002</v>
      </c>
      <c r="T16" s="29" t="s">
        <v>63</v>
      </c>
      <c r="U16" s="62"/>
      <c r="V16" s="1"/>
    </row>
    <row r="17" spans="1:22" ht="15" customHeight="1" thickBot="1">
      <c r="A17" s="6"/>
      <c r="B17" s="102" t="s">
        <v>33</v>
      </c>
      <c r="C17" s="99"/>
      <c r="D17" s="24">
        <f>$I$6*$I$6*$D$8</f>
        <v>3.026315777968921</v>
      </c>
      <c r="E17" s="15" t="s">
        <v>8</v>
      </c>
      <c r="F17" s="143"/>
      <c r="G17" s="150" t="s">
        <v>77</v>
      </c>
      <c r="H17" s="99"/>
      <c r="I17" s="24">
        <f>+((150-$I$14)/$D$18)-2</f>
        <v>3.4345191104617863</v>
      </c>
      <c r="J17" s="25" t="s">
        <v>24</v>
      </c>
      <c r="K17" s="7"/>
      <c r="L17" s="157" t="s">
        <v>110</v>
      </c>
      <c r="M17" s="99"/>
      <c r="N17" s="24" t="str">
        <f>+IF($N$13&gt;24000,"0.10",IF($N$13&lt;10000,"1.00","0.47"))</f>
        <v>1.00</v>
      </c>
      <c r="O17" s="23" t="s">
        <v>40</v>
      </c>
      <c r="P17" s="143"/>
      <c r="Q17" s="105" t="s">
        <v>62</v>
      </c>
      <c r="R17" s="106"/>
      <c r="S17" s="33">
        <f>(1/(2*PI()*($M$22+$D$28)*1000*($N$13+35000)))*1000000000000</f>
        <v>421.04482299443214</v>
      </c>
      <c r="T17" s="32" t="s">
        <v>63</v>
      </c>
      <c r="U17" s="62"/>
      <c r="V17" s="1"/>
    </row>
    <row r="18" spans="1:22" ht="15" customHeight="1" thickBot="1">
      <c r="A18" s="6"/>
      <c r="B18" s="102" t="s">
        <v>17</v>
      </c>
      <c r="C18" s="99"/>
      <c r="D18" s="24">
        <f>+((((0.0004+($I$10/1000000))*$D$9)*$I$8)/(1-((0.0004+($I$10/1000000))*$D$9)))+(0.25*$I$6*$I$6)</f>
        <v>23.001169057361032</v>
      </c>
      <c r="E18" s="15" t="s">
        <v>8</v>
      </c>
      <c r="F18" s="143"/>
      <c r="G18" s="102" t="s">
        <v>28</v>
      </c>
      <c r="H18" s="99"/>
      <c r="I18" s="24">
        <f>+((150-$I$14)/($D$18*0.5))-1</f>
        <v>9.869012760896727</v>
      </c>
      <c r="J18" s="25" t="s">
        <v>24</v>
      </c>
      <c r="K18" s="7"/>
      <c r="L18" s="109" t="s">
        <v>81</v>
      </c>
      <c r="M18" s="110"/>
      <c r="N18" s="4">
        <f>+$D$5/($N$15*4*$D$9*0.001)</f>
        <v>0.7775045141777142</v>
      </c>
      <c r="O18" s="5" t="s">
        <v>12</v>
      </c>
      <c r="P18" s="143"/>
      <c r="Q18" s="114"/>
      <c r="R18" s="115"/>
      <c r="S18" s="115"/>
      <c r="T18" s="115"/>
      <c r="U18" s="62"/>
      <c r="V18" s="1"/>
    </row>
    <row r="19" spans="1:22" ht="15" customHeight="1" thickBot="1">
      <c r="A19" s="6"/>
      <c r="B19" s="122" t="s">
        <v>16</v>
      </c>
      <c r="C19" s="110"/>
      <c r="D19" s="4">
        <f>+(0.036*($D$5+$D$6))/2</f>
        <v>0.72</v>
      </c>
      <c r="E19" s="40" t="s">
        <v>8</v>
      </c>
      <c r="F19" s="143"/>
      <c r="G19" s="122" t="s">
        <v>29</v>
      </c>
      <c r="H19" s="110"/>
      <c r="I19" s="4">
        <f>+((150-$I$14)/($D$18*0.5))-2</f>
        <v>8.869012760896727</v>
      </c>
      <c r="J19" s="34" t="s">
        <v>24</v>
      </c>
      <c r="K19" s="7"/>
      <c r="L19" s="107"/>
      <c r="M19" s="108"/>
      <c r="N19" s="108"/>
      <c r="O19" s="108"/>
      <c r="P19" s="164"/>
      <c r="Q19" s="116"/>
      <c r="R19" s="116"/>
      <c r="S19" s="116"/>
      <c r="T19" s="116"/>
      <c r="U19" s="62"/>
      <c r="V19" s="1"/>
    </row>
    <row r="20" spans="1:22" ht="15.75" customHeight="1">
      <c r="A20" s="6"/>
      <c r="B20" s="143"/>
      <c r="C20" s="143"/>
      <c r="D20" s="143"/>
      <c r="E20" s="143"/>
      <c r="F20" s="143"/>
      <c r="G20" s="143"/>
      <c r="H20" s="143"/>
      <c r="I20" s="143"/>
      <c r="J20" s="146"/>
      <c r="K20" s="7"/>
      <c r="L20" s="168" t="s">
        <v>85</v>
      </c>
      <c r="M20" s="136"/>
      <c r="N20" s="136"/>
      <c r="O20" s="169" t="s">
        <v>42</v>
      </c>
      <c r="P20" s="165"/>
      <c r="Q20" s="168" t="s">
        <v>86</v>
      </c>
      <c r="R20" s="136"/>
      <c r="S20" s="136"/>
      <c r="T20" s="165"/>
      <c r="U20" s="62"/>
      <c r="V20" s="1"/>
    </row>
    <row r="21" spans="1:22" ht="16.5" thickBot="1">
      <c r="A21" s="6"/>
      <c r="B21" s="136" t="s">
        <v>49</v>
      </c>
      <c r="C21" s="136"/>
      <c r="D21" s="136"/>
      <c r="E21" s="136"/>
      <c r="F21" s="172" t="s">
        <v>75</v>
      </c>
      <c r="G21" s="136" t="s">
        <v>49</v>
      </c>
      <c r="H21" s="136"/>
      <c r="I21" s="136"/>
      <c r="J21" s="136"/>
      <c r="K21" s="7"/>
      <c r="L21" s="170" t="s">
        <v>71</v>
      </c>
      <c r="M21" s="171"/>
      <c r="N21" s="171"/>
      <c r="O21" s="165"/>
      <c r="P21" s="165"/>
      <c r="Q21" s="171" t="s">
        <v>72</v>
      </c>
      <c r="R21" s="171"/>
      <c r="S21" s="171"/>
      <c r="T21" s="164"/>
      <c r="U21" s="62"/>
      <c r="V21" s="1"/>
    </row>
    <row r="22" spans="1:21" ht="15" customHeight="1">
      <c r="A22" s="6"/>
      <c r="B22" s="124" t="s">
        <v>50</v>
      </c>
      <c r="C22" s="125"/>
      <c r="D22" s="43">
        <v>1</v>
      </c>
      <c r="E22" s="22" t="s">
        <v>55</v>
      </c>
      <c r="F22" s="164"/>
      <c r="G22" s="117" t="s">
        <v>74</v>
      </c>
      <c r="H22" s="118"/>
      <c r="I22" s="10">
        <f>+$I$23/1000000*85000</f>
        <v>0.08499999999999999</v>
      </c>
      <c r="J22" s="58" t="s">
        <v>55</v>
      </c>
      <c r="K22" s="7"/>
      <c r="L22" s="41" t="s">
        <v>65</v>
      </c>
      <c r="M22" s="43">
        <v>6.8</v>
      </c>
      <c r="N22" s="42" t="s">
        <v>9</v>
      </c>
      <c r="O22" s="165"/>
      <c r="P22" s="165"/>
      <c r="Q22" s="48" t="s">
        <v>65</v>
      </c>
      <c r="R22" s="10">
        <f>+(($R$23*(($S$14+$S$15)/$S$15)-$R$23)/($R$25-0.5-(($D$5-20)*0.0175)))-0.1-$D$28</f>
        <v>2.647368421052632</v>
      </c>
      <c r="S22" s="15" t="s">
        <v>9</v>
      </c>
      <c r="T22" s="164"/>
      <c r="U22" s="62"/>
    </row>
    <row r="23" spans="1:21" ht="15" customHeight="1">
      <c r="A23" s="6"/>
      <c r="B23" s="102" t="s">
        <v>54</v>
      </c>
      <c r="C23" s="99"/>
      <c r="D23" s="26">
        <f>+($D$22/85000)*1000000</f>
        <v>11.764705882352942</v>
      </c>
      <c r="E23" s="23" t="s">
        <v>51</v>
      </c>
      <c r="F23" s="164"/>
      <c r="G23" s="166" t="s">
        <v>73</v>
      </c>
      <c r="H23" s="167"/>
      <c r="I23" s="45">
        <v>1</v>
      </c>
      <c r="J23" s="57" t="s">
        <v>51</v>
      </c>
      <c r="K23" s="7"/>
      <c r="L23" s="44" t="s">
        <v>66</v>
      </c>
      <c r="M23" s="14">
        <v>6.8</v>
      </c>
      <c r="N23" s="46" t="s">
        <v>9</v>
      </c>
      <c r="O23" s="165"/>
      <c r="P23" s="165"/>
      <c r="Q23" s="48" t="s">
        <v>66</v>
      </c>
      <c r="R23" s="76" t="str">
        <f>+IF($R$25&lt;=10,"4.70",IF(AND($R$25&gt;10,$R$25&lt;16),"6.80",IF(AND($R$25&gt;=16,$R$25&lt;23),"10.0",IF(AND($R$25&gt;=23,$R$25&lt;34),"15.0",IF(AND($R$25&gt;=34,$R$25&lt;45),"20.0","24.9")))))</f>
        <v>4.70</v>
      </c>
      <c r="S23" s="15" t="s">
        <v>9</v>
      </c>
      <c r="T23" s="164"/>
      <c r="U23" s="62"/>
    </row>
    <row r="24" spans="1:21" ht="15" customHeight="1">
      <c r="A24" s="6"/>
      <c r="B24" s="126" t="s">
        <v>53</v>
      </c>
      <c r="C24" s="127"/>
      <c r="D24" s="49">
        <f>+IF(($I$6+$N$10+2)&lt;=11,100,((1000000000/($I$6+$N$10+2))/(10000-(100000/($I$6+$N$10+2)))/1000))</f>
        <v>83.28482988937725</v>
      </c>
      <c r="E24" s="27" t="s">
        <v>9</v>
      </c>
      <c r="F24" s="164"/>
      <c r="G24" s="148" t="s">
        <v>89</v>
      </c>
      <c r="H24" s="148"/>
      <c r="I24" s="148"/>
      <c r="J24" s="149"/>
      <c r="K24" s="7"/>
      <c r="L24" s="47" t="s">
        <v>67</v>
      </c>
      <c r="M24" s="45">
        <v>1000</v>
      </c>
      <c r="N24" s="46" t="s">
        <v>9</v>
      </c>
      <c r="O24" s="165"/>
      <c r="P24" s="165"/>
      <c r="Q24" s="16" t="s">
        <v>67</v>
      </c>
      <c r="R24" s="26">
        <v>1000</v>
      </c>
      <c r="S24" s="46" t="s">
        <v>9</v>
      </c>
      <c r="T24" s="164"/>
      <c r="U24" s="62"/>
    </row>
    <row r="25" spans="1:21" ht="15" customHeight="1">
      <c r="A25" s="6"/>
      <c r="B25" s="126" t="s">
        <v>87</v>
      </c>
      <c r="C25" s="127"/>
      <c r="D25" s="49">
        <f>+((0.05/(LOG($M$24/$M$23)-1.05))*(((($D$5/20)-1)*2)+1))*1000</f>
        <v>44.743086158374076</v>
      </c>
      <c r="E25" s="59" t="s">
        <v>82</v>
      </c>
      <c r="F25" s="152" t="s">
        <v>76</v>
      </c>
      <c r="G25" s="126" t="s">
        <v>88</v>
      </c>
      <c r="H25" s="127"/>
      <c r="I25" s="49">
        <f>+((0.05/(LOG($R$24/$R$23)-1.05))*(((($D$5/20)-1)*2)+1))*1000</f>
        <v>39.12662664390842</v>
      </c>
      <c r="J25" s="59" t="s">
        <v>82</v>
      </c>
      <c r="K25" s="7"/>
      <c r="L25" s="44" t="s">
        <v>68</v>
      </c>
      <c r="M25" s="24">
        <f>+(($M$23/($M$22+0.1+$D$28))*(($S$6+$S$7)/$S$7)-($M$23/($M$22+0.1+$D$28))+0.5)+(($D$5-20)*0.0175)</f>
        <v>7.972527472527472</v>
      </c>
      <c r="N25" s="50" t="s">
        <v>69</v>
      </c>
      <c r="O25" s="165"/>
      <c r="P25" s="165"/>
      <c r="Q25" s="16" t="s">
        <v>68</v>
      </c>
      <c r="R25" s="92">
        <v>10</v>
      </c>
      <c r="S25" s="27" t="s">
        <v>69</v>
      </c>
      <c r="T25" s="164"/>
      <c r="U25" s="62"/>
    </row>
    <row r="26" spans="1:21" ht="15" customHeight="1">
      <c r="A26" s="6"/>
      <c r="B26" s="102" t="s">
        <v>84</v>
      </c>
      <c r="C26" s="99"/>
      <c r="D26" s="24">
        <f>+((($M$22*1000)*6)/($D$25/($M$25*1000))-($M$22*1000))/1000000</f>
        <v>7.263130369303368</v>
      </c>
      <c r="E26" s="29" t="s">
        <v>83</v>
      </c>
      <c r="F26" s="153"/>
      <c r="G26" s="126" t="s">
        <v>84</v>
      </c>
      <c r="H26" s="127"/>
      <c r="I26" s="17">
        <f>+((($R$22*1000)*6)/($I$25/($R$25*1000))-($R$22*1000))/1000000</f>
        <v>4.057045962894742</v>
      </c>
      <c r="J26" s="67" t="s">
        <v>83</v>
      </c>
      <c r="K26" s="60"/>
      <c r="L26" s="51" t="s">
        <v>68</v>
      </c>
      <c r="M26" s="26">
        <f>20*LOG10($M$25)</f>
        <v>18.03192048905322</v>
      </c>
      <c r="N26" s="15" t="s">
        <v>70</v>
      </c>
      <c r="O26" s="165"/>
      <c r="P26" s="165"/>
      <c r="Q26" s="72" t="s">
        <v>68</v>
      </c>
      <c r="R26" s="26">
        <f>20*LOG10($R$25)</f>
        <v>20</v>
      </c>
      <c r="S26" s="15" t="s">
        <v>70</v>
      </c>
      <c r="T26" s="164"/>
      <c r="U26" s="62"/>
    </row>
    <row r="27" spans="1:21" ht="15" customHeight="1">
      <c r="A27" s="6"/>
      <c r="B27" s="126" t="s">
        <v>91</v>
      </c>
      <c r="C27" s="127"/>
      <c r="D27" s="70">
        <v>0.47</v>
      </c>
      <c r="E27" s="71" t="s">
        <v>51</v>
      </c>
      <c r="F27" s="153"/>
      <c r="G27" s="126" t="s">
        <v>93</v>
      </c>
      <c r="H27" s="127"/>
      <c r="I27" s="31">
        <f>1/(2*PI()*(1/((1/($M$22))+(1/$D$28))*$D$27))</f>
        <v>0.2037197758315875</v>
      </c>
      <c r="J27" s="73" t="s">
        <v>3</v>
      </c>
      <c r="K27" s="60"/>
      <c r="L27" s="52" t="s">
        <v>90</v>
      </c>
      <c r="M27" s="53">
        <v>1</v>
      </c>
      <c r="N27" s="23" t="s">
        <v>51</v>
      </c>
      <c r="O27" s="165"/>
      <c r="P27" s="165"/>
      <c r="Q27" s="63" t="s">
        <v>90</v>
      </c>
      <c r="R27" s="53">
        <v>1.8</v>
      </c>
      <c r="S27" s="23" t="s">
        <v>51</v>
      </c>
      <c r="T27" s="164"/>
      <c r="U27" s="62"/>
    </row>
    <row r="28" spans="1:21" ht="15" customHeight="1" thickBot="1">
      <c r="A28" s="2"/>
      <c r="B28" s="122" t="s">
        <v>92</v>
      </c>
      <c r="C28" s="110"/>
      <c r="D28" s="75">
        <v>2.2</v>
      </c>
      <c r="E28" s="5" t="s">
        <v>9</v>
      </c>
      <c r="F28" s="153"/>
      <c r="G28" s="122" t="s">
        <v>94</v>
      </c>
      <c r="H28" s="110"/>
      <c r="I28" s="74">
        <f>1/(2*PI()*(1/((1/($R$22))+(1/$D$28))*$D$27))</f>
        <v>0.2818326070417641</v>
      </c>
      <c r="J28" s="68" t="s">
        <v>3</v>
      </c>
      <c r="K28" s="3"/>
      <c r="L28" s="54" t="s">
        <v>78</v>
      </c>
      <c r="M28" s="33">
        <f>1/(2*PI()*($M$22+$D$28)*1000*($M$27/1000000))</f>
        <v>17.683882565766147</v>
      </c>
      <c r="N28" s="55" t="s">
        <v>79</v>
      </c>
      <c r="O28" s="165"/>
      <c r="P28" s="165"/>
      <c r="Q28" s="56" t="s">
        <v>78</v>
      </c>
      <c r="R28" s="33">
        <f>1/(2*PI()*($R$22+$D$28)*1000*($R$27/1000000))</f>
        <v>18.240704058064974</v>
      </c>
      <c r="S28" s="55" t="s">
        <v>79</v>
      </c>
      <c r="T28" s="164"/>
      <c r="U28" s="62"/>
    </row>
    <row r="29" spans="1:21" ht="15" customHeight="1">
      <c r="A29" s="1"/>
      <c r="D29" s="69"/>
      <c r="E29" s="69"/>
      <c r="H29" s="83"/>
      <c r="I29" s="84"/>
      <c r="J29" s="83"/>
      <c r="K29" s="1"/>
      <c r="L29" s="77"/>
      <c r="M29" s="77"/>
      <c r="S29" s="2"/>
      <c r="T29" s="1"/>
      <c r="U29" s="1"/>
    </row>
    <row r="30" spans="1:21" ht="12.75">
      <c r="A30" s="1"/>
      <c r="D30" s="69"/>
      <c r="E30" s="69"/>
      <c r="H30" s="83"/>
      <c r="I30" s="84"/>
      <c r="J30" s="83"/>
      <c r="K30" s="82"/>
      <c r="L30" s="78"/>
      <c r="M30" s="78"/>
      <c r="N30" s="85"/>
      <c r="S30" s="1"/>
      <c r="T30" s="1"/>
      <c r="U30" s="1"/>
    </row>
    <row r="31" spans="1:22" ht="12.75">
      <c r="A31" s="1"/>
      <c r="H31" s="81"/>
      <c r="I31" s="81"/>
      <c r="J31" s="81"/>
      <c r="K31" s="81"/>
      <c r="L31" s="78"/>
      <c r="M31" s="78"/>
      <c r="N31" s="85"/>
      <c r="S31" s="1"/>
      <c r="T31" s="1"/>
      <c r="U31" s="1"/>
      <c r="V31" s="1"/>
    </row>
    <row r="32" spans="1:22" ht="12.75">
      <c r="A32" s="1"/>
      <c r="D32" s="69"/>
      <c r="E32" s="69"/>
      <c r="H32" s="83"/>
      <c r="I32" s="84"/>
      <c r="J32" s="83"/>
      <c r="K32" s="81"/>
      <c r="L32" s="81"/>
      <c r="M32" s="81"/>
      <c r="N32" s="85"/>
      <c r="S32" s="1"/>
      <c r="T32" s="1"/>
      <c r="U32" s="1"/>
      <c r="V32" s="1"/>
    </row>
    <row r="33" spans="1:22" ht="12.75">
      <c r="A33" s="1"/>
      <c r="H33" s="78"/>
      <c r="I33" s="84"/>
      <c r="J33" s="79"/>
      <c r="K33" s="80"/>
      <c r="L33" s="81"/>
      <c r="M33" s="81"/>
      <c r="N33" s="82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H34" s="78"/>
      <c r="I34" s="84"/>
      <c r="J34" s="79"/>
      <c r="K34" s="80"/>
      <c r="L34" s="81"/>
      <c r="M34" s="81"/>
      <c r="N34" s="82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H35" s="83"/>
      <c r="I35" s="83"/>
      <c r="J35" s="83"/>
      <c r="K35" s="83"/>
      <c r="L35" s="81"/>
      <c r="M35" s="81"/>
      <c r="N35" s="82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D36" s="69"/>
      <c r="E36" s="69"/>
      <c r="H36" s="82"/>
      <c r="I36" s="82"/>
      <c r="J36" s="82"/>
      <c r="K36" s="82"/>
      <c r="L36" s="82"/>
      <c r="M36" s="85"/>
      <c r="N36" s="85"/>
      <c r="R36" s="1"/>
      <c r="S36" s="1"/>
      <c r="T36" s="1"/>
      <c r="U36" s="1"/>
      <c r="V36" s="1"/>
    </row>
    <row r="37" spans="1:22" ht="12.75">
      <c r="A37" s="1"/>
      <c r="H37" s="82"/>
      <c r="I37" s="82"/>
      <c r="J37" s="82"/>
      <c r="K37" s="82"/>
      <c r="L37" s="82"/>
      <c r="M37" s="85"/>
      <c r="N37" s="85"/>
      <c r="R37" s="1"/>
      <c r="S37" s="1"/>
      <c r="T37" s="1"/>
      <c r="U37" s="1"/>
      <c r="V37" s="1"/>
    </row>
    <row r="38" spans="1:22" ht="12.75">
      <c r="A38" s="1"/>
      <c r="H38" s="82"/>
      <c r="I38" s="82"/>
      <c r="J38" s="82"/>
      <c r="K38" s="82"/>
      <c r="L38" s="82"/>
      <c r="M38" s="85"/>
      <c r="N38" s="85"/>
      <c r="R38" s="1"/>
      <c r="S38" s="1"/>
      <c r="T38" s="1"/>
      <c r="U38" s="1"/>
      <c r="V38" s="1"/>
    </row>
    <row r="39" spans="1:22" ht="12.75">
      <c r="A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D40" s="69"/>
      <c r="E40" s="6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65535" spans="13:14" ht="12.75">
      <c r="M65535" s="151"/>
      <c r="N65535" s="151"/>
    </row>
  </sheetData>
  <sheetProtection password="DC63" sheet="1" objects="1" scenarios="1"/>
  <mergeCells count="96">
    <mergeCell ref="Q20:S20"/>
    <mergeCell ref="Q21:S21"/>
    <mergeCell ref="T20:T28"/>
    <mergeCell ref="B27:C27"/>
    <mergeCell ref="G23:H23"/>
    <mergeCell ref="G21:J21"/>
    <mergeCell ref="L20:N20"/>
    <mergeCell ref="B20:J20"/>
    <mergeCell ref="B23:C23"/>
    <mergeCell ref="O20:P28"/>
    <mergeCell ref="L21:N21"/>
    <mergeCell ref="F21:F24"/>
    <mergeCell ref="L6:M6"/>
    <mergeCell ref="L10:M10"/>
    <mergeCell ref="G19:H19"/>
    <mergeCell ref="G18:H18"/>
    <mergeCell ref="L14:M14"/>
    <mergeCell ref="L15:M15"/>
    <mergeCell ref="B1:T1"/>
    <mergeCell ref="L17:M17"/>
    <mergeCell ref="L13:M13"/>
    <mergeCell ref="L12:O12"/>
    <mergeCell ref="L16:M16"/>
    <mergeCell ref="Q13:T13"/>
    <mergeCell ref="Q12:T12"/>
    <mergeCell ref="Q16:R16"/>
    <mergeCell ref="Q3:T3"/>
    <mergeCell ref="Q9:R9"/>
    <mergeCell ref="M65535:N65535"/>
    <mergeCell ref="B26:C26"/>
    <mergeCell ref="B25:C25"/>
    <mergeCell ref="G26:H26"/>
    <mergeCell ref="G27:H27"/>
    <mergeCell ref="G25:H25"/>
    <mergeCell ref="B28:C28"/>
    <mergeCell ref="G28:H28"/>
    <mergeCell ref="F25:F28"/>
    <mergeCell ref="B17:C17"/>
    <mergeCell ref="B15:C15"/>
    <mergeCell ref="B16:C16"/>
    <mergeCell ref="G24:J24"/>
    <mergeCell ref="G17:H17"/>
    <mergeCell ref="G22:H22"/>
    <mergeCell ref="B21:E21"/>
    <mergeCell ref="B22:C22"/>
    <mergeCell ref="G16:H16"/>
    <mergeCell ref="B24:C24"/>
    <mergeCell ref="B9:C9"/>
    <mergeCell ref="F4:F10"/>
    <mergeCell ref="B14:C14"/>
    <mergeCell ref="B10:C10"/>
    <mergeCell ref="B13:E13"/>
    <mergeCell ref="B12:J12"/>
    <mergeCell ref="B11:J11"/>
    <mergeCell ref="F13:F19"/>
    <mergeCell ref="B18:C18"/>
    <mergeCell ref="B19:C19"/>
    <mergeCell ref="E2:J2"/>
    <mergeCell ref="B7:C7"/>
    <mergeCell ref="B8:C8"/>
    <mergeCell ref="L4:O4"/>
    <mergeCell ref="B3:J3"/>
    <mergeCell ref="B5:C5"/>
    <mergeCell ref="B6:C6"/>
    <mergeCell ref="G6:H6"/>
    <mergeCell ref="G5:H5"/>
    <mergeCell ref="B4:E4"/>
    <mergeCell ref="G9:H9"/>
    <mergeCell ref="Q15:R15"/>
    <mergeCell ref="L7:M7"/>
    <mergeCell ref="L8:M8"/>
    <mergeCell ref="L9:M9"/>
    <mergeCell ref="L11:O11"/>
    <mergeCell ref="P3:P19"/>
    <mergeCell ref="L5:M5"/>
    <mergeCell ref="L3:O3"/>
    <mergeCell ref="G4:J4"/>
    <mergeCell ref="G7:H7"/>
    <mergeCell ref="G8:H8"/>
    <mergeCell ref="Q18:T19"/>
    <mergeCell ref="Q14:R14"/>
    <mergeCell ref="Q10:T11"/>
    <mergeCell ref="G15:I15"/>
    <mergeCell ref="G10:H10"/>
    <mergeCell ref="G13:J13"/>
    <mergeCell ref="G14:H14"/>
    <mergeCell ref="Q17:R17"/>
    <mergeCell ref="L19:O19"/>
    <mergeCell ref="L18:M18"/>
    <mergeCell ref="P2:T2"/>
    <mergeCell ref="L2:O2"/>
    <mergeCell ref="Q7:R7"/>
    <mergeCell ref="Q8:R8"/>
    <mergeCell ref="Q4:T4"/>
    <mergeCell ref="Q5:T5"/>
    <mergeCell ref="Q6:R6"/>
  </mergeCells>
  <conditionalFormatting sqref="D5:D6">
    <cfRule type="cellIs" priority="1" dxfId="0" operator="notBetween" stopIfTrue="1">
      <formula>12</formula>
      <formula>22</formula>
    </cfRule>
    <cfRule type="cellIs" priority="2" dxfId="1" operator="between" stopIfTrue="1">
      <formula>12</formula>
      <formula>22</formula>
    </cfRule>
  </conditionalFormatting>
  <conditionalFormatting sqref="D9">
    <cfRule type="cellIs" priority="3" dxfId="1" operator="between" stopIfTrue="1">
      <formula>50</formula>
      <formula>200</formula>
    </cfRule>
    <cfRule type="cellIs" priority="4" dxfId="0" operator="notBetween" stopIfTrue="1">
      <formula>50</formula>
      <formula>200</formula>
    </cfRule>
  </conditionalFormatting>
  <conditionalFormatting sqref="D24">
    <cfRule type="cellIs" priority="5" dxfId="0" operator="lessThan" stopIfTrue="1">
      <formula>13</formula>
    </cfRule>
    <cfRule type="cellIs" priority="6" dxfId="1" operator="greaterThanOrEqual" stopIfTrue="1">
      <formula>13</formula>
    </cfRule>
  </conditionalFormatting>
  <conditionalFormatting sqref="R25">
    <cfRule type="cellIs" priority="7" dxfId="1" operator="lessThanOrEqual" stopIfTrue="1">
      <formula>50</formula>
    </cfRule>
    <cfRule type="cellIs" priority="8" dxfId="2" operator="greaterThan" stopIfTrue="1">
      <formula>50</formula>
    </cfRule>
  </conditionalFormatting>
  <conditionalFormatting sqref="M25">
    <cfRule type="cellIs" priority="9" dxfId="3" operator="lessThanOrEqual" stopIfTrue="1">
      <formula>50</formula>
    </cfRule>
    <cfRule type="cellIs" priority="10" dxfId="2" operator="greaterThan" stopIfTrue="1">
      <formula>50</formula>
    </cfRule>
  </conditionalFormatting>
  <conditionalFormatting sqref="N9">
    <cfRule type="cellIs" priority="11" dxfId="3" operator="between" stopIfTrue="1">
      <formula>0.4</formula>
      <formula>1.2</formula>
    </cfRule>
    <cfRule type="cellIs" priority="12" dxfId="2" operator="notBetween" stopIfTrue="1">
      <formula>0.4</formula>
      <formula>1.2</formula>
    </cfRule>
  </conditionalFormatting>
  <conditionalFormatting sqref="I16:I19">
    <cfRule type="cellIs" priority="13" dxfId="3" operator="greaterThanOrEqual" stopIfTrue="1">
      <formula>1</formula>
    </cfRule>
    <cfRule type="cellIs" priority="14" dxfId="2" operator="lessThan" stopIfTrue="1">
      <formula>1</formula>
    </cfRule>
  </conditionalFormatting>
  <conditionalFormatting sqref="D10">
    <cfRule type="cellIs" priority="15" dxfId="1" operator="lessThanOrEqual" stopIfTrue="1">
      <formula>5.1</formula>
    </cfRule>
    <cfRule type="cellIs" priority="16" dxfId="2" operator="greaterThan" stopIfTrue="1">
      <formula>5.1</formula>
    </cfRule>
  </conditionalFormatting>
  <conditionalFormatting sqref="M28 R28">
    <cfRule type="cellIs" priority="17" dxfId="3" operator="lessThanOrEqual" stopIfTrue="1">
      <formula>20</formula>
    </cfRule>
    <cfRule type="cellIs" priority="18" dxfId="2" operator="greaterThan" stopIfTrue="1">
      <formula>20</formula>
    </cfRule>
  </conditionalFormatting>
  <conditionalFormatting sqref="L2:O2">
    <cfRule type="cellIs" priority="19" dxfId="4" operator="equal" stopIfTrue="1">
      <formula>"""No Warnings with this design."""</formula>
    </cfRule>
    <cfRule type="cellIs" priority="20" dxfId="2" operator="equal" stopIfTrue="1">
      <formula>"Warning found! Please check!"</formula>
    </cfRule>
  </conditionalFormatting>
  <conditionalFormatting sqref="P2:T2">
    <cfRule type="cellIs" priority="21" dxfId="4" operator="equal" stopIfTrue="1">
      <formula>"No Errors with this design."</formula>
    </cfRule>
    <cfRule type="cellIs" priority="22" dxfId="0" operator="equal" stopIfTrue="1">
      <formula>"Error found! Check errors for correction."</formula>
    </cfRule>
  </conditionalFormatting>
  <printOptions/>
  <pageMargins left="0.55" right="0.57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2">
      <selection activeCell="A2" sqref="A2"/>
    </sheetView>
  </sheetViews>
  <sheetFormatPr defaultColWidth="9.140625" defaultRowHeight="12.75"/>
  <cols>
    <col min="1" max="1" width="1.7109375" style="0" customWidth="1"/>
    <col min="2" max="2" width="8.7109375" style="0" customWidth="1"/>
    <col min="3" max="3" width="11.28125" style="0" customWidth="1"/>
    <col min="4" max="5" width="7.421875" style="0" customWidth="1"/>
    <col min="6" max="6" width="6.140625" style="0" customWidth="1"/>
  </cols>
  <sheetData>
    <row r="1" spans="1:20" ht="15">
      <c r="A1" s="86"/>
      <c r="B1" s="154" t="s">
        <v>56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Q1" s="155"/>
      <c r="R1" s="156"/>
      <c r="S1" s="156"/>
      <c r="T1" s="156"/>
    </row>
    <row r="2" spans="1:20" ht="12" customHeight="1">
      <c r="A2" s="86"/>
      <c r="B2" s="91" t="str">
        <f>'Quick Calculations'!$B$2</f>
        <v>Rev 1.3</v>
      </c>
      <c r="C2" s="87" t="s">
        <v>11</v>
      </c>
      <c r="D2" s="91">
        <v>36924</v>
      </c>
      <c r="E2" s="182" t="s">
        <v>114</v>
      </c>
      <c r="F2" s="182"/>
      <c r="G2" s="182"/>
      <c r="H2" s="182"/>
      <c r="I2" s="182"/>
      <c r="J2" s="183"/>
      <c r="K2" s="184"/>
      <c r="L2" s="86"/>
      <c r="M2" s="86"/>
      <c r="N2" s="86"/>
      <c r="O2" s="86"/>
      <c r="P2" s="86"/>
      <c r="Q2" s="86"/>
      <c r="R2" s="86"/>
      <c r="S2" s="86"/>
      <c r="T2" s="86"/>
    </row>
    <row r="3" spans="1:20" ht="16.5" thickBot="1">
      <c r="A3" s="86"/>
      <c r="B3" s="173" t="s">
        <v>95</v>
      </c>
      <c r="C3" s="173"/>
      <c r="D3" s="173"/>
      <c r="E3" s="173"/>
      <c r="F3" s="174"/>
      <c r="G3" s="6"/>
      <c r="H3" s="6"/>
      <c r="I3" s="6"/>
      <c r="J3" s="6"/>
      <c r="K3" s="6"/>
      <c r="L3" s="86"/>
      <c r="M3" s="86"/>
      <c r="N3" s="86"/>
      <c r="O3" s="86"/>
      <c r="P3" s="86"/>
      <c r="Q3" s="86"/>
      <c r="R3" s="86"/>
      <c r="S3" s="86"/>
      <c r="T3" s="86"/>
    </row>
    <row r="4" spans="1:20" ht="12.75">
      <c r="A4" s="86"/>
      <c r="B4" s="175" t="s">
        <v>97</v>
      </c>
      <c r="C4" s="176"/>
      <c r="D4" s="177"/>
      <c r="E4" s="21">
        <f>(22/'Quick Calculations'!$D$5-1)*100</f>
        <v>10.000000000000009</v>
      </c>
      <c r="F4" s="22" t="s">
        <v>18</v>
      </c>
      <c r="G4" s="180" t="s">
        <v>112</v>
      </c>
      <c r="H4" s="181"/>
      <c r="I4" s="181"/>
      <c r="J4" s="6"/>
      <c r="K4" s="6"/>
      <c r="L4" s="86"/>
      <c r="M4" s="86"/>
      <c r="N4" s="86"/>
      <c r="O4" s="86"/>
      <c r="P4" s="86"/>
      <c r="Q4" s="86"/>
      <c r="R4" s="86"/>
      <c r="S4" s="86"/>
      <c r="T4" s="86"/>
    </row>
    <row r="5" spans="1:20" ht="13.5" thickBot="1">
      <c r="A5" s="86"/>
      <c r="B5" s="105" t="s">
        <v>98</v>
      </c>
      <c r="C5" s="178"/>
      <c r="D5" s="179"/>
      <c r="E5" s="33">
        <f>('Quick Calculations'!$D$5+'Quick Calculations'!$D$6)*('Quick Calculations'!$I$6/SQRT(2))*0.85</f>
        <v>197.15785633693636</v>
      </c>
      <c r="F5" s="5" t="s">
        <v>96</v>
      </c>
      <c r="G5" s="180" t="s">
        <v>113</v>
      </c>
      <c r="H5" s="181"/>
      <c r="I5" s="6"/>
      <c r="J5" s="6"/>
      <c r="K5" s="6"/>
      <c r="L5" s="86"/>
      <c r="M5" s="86"/>
      <c r="N5" s="86"/>
      <c r="O5" s="86"/>
      <c r="P5" s="86"/>
      <c r="Q5" s="86"/>
      <c r="R5" s="86"/>
      <c r="S5" s="86"/>
      <c r="T5" s="86"/>
    </row>
    <row r="6" spans="1:20" ht="12.75">
      <c r="A6" s="86"/>
      <c r="B6" s="6"/>
      <c r="C6" s="6"/>
      <c r="D6" s="6"/>
      <c r="E6" s="6"/>
      <c r="F6" s="6"/>
      <c r="G6" s="6"/>
      <c r="H6" s="6"/>
      <c r="I6" s="6"/>
      <c r="J6" s="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2.75">
      <c r="A7" s="86"/>
      <c r="B7" s="86"/>
      <c r="C7" s="86"/>
      <c r="D7" s="86"/>
      <c r="E7" s="86"/>
      <c r="F7" s="86"/>
      <c r="G7" s="88" t="s">
        <v>100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12.75">
      <c r="A8" s="86"/>
      <c r="B8" s="88" t="s">
        <v>99</v>
      </c>
      <c r="C8" s="88" t="s">
        <v>101</v>
      </c>
      <c r="D8" s="88" t="s">
        <v>102</v>
      </c>
      <c r="E8" s="88" t="s">
        <v>103</v>
      </c>
      <c r="F8" s="88" t="s">
        <v>108</v>
      </c>
      <c r="G8" s="88" t="s">
        <v>109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12.75">
      <c r="A9" s="86"/>
      <c r="B9" s="88">
        <v>0</v>
      </c>
      <c r="C9" s="24">
        <f>IF($B9&lt;('Quick Calculations'!$I$8+2.5),(((((0.0004+('Quick Calculations'!$I$10/1000000))*'Quick Calculations'!$D$9)*$B9)/(1-((0.0004+('Quick Calculations'!$I$10/1000000))*'Quick Calculations'!$D$9)))+($B9/'Quick Calculations'!$D$7)*2*0.25)+2,"")</f>
        <v>2</v>
      </c>
      <c r="D9" s="24">
        <f>IF($B9&lt;('Quick Calculations'!$I$8+2.5),($B9/'Quick Calculations'!$D$7*2*'Quick Calculations'!$D$8),"")</f>
        <v>0</v>
      </c>
      <c r="E9" s="24">
        <f>IF($B9&lt;('Quick Calculations'!$I$8+2.5),0.036*('Quick Calculations'!$D$5+'Quick Calculations'!$D$6)/2,"")</f>
        <v>0.72</v>
      </c>
      <c r="F9" s="89">
        <f>IF($B9&lt;('Quick Calculations'!$I$8+2.5),$C9+$D9+$E9,"")</f>
        <v>2.7199999999999998</v>
      </c>
      <c r="G9" s="89">
        <f>IF($B9&lt;('Quick Calculations'!$I$8+2.5),($B9/($B9+$F9))*100,"")</f>
        <v>0</v>
      </c>
      <c r="H9" s="86"/>
      <c r="I9" s="86"/>
      <c r="J9" s="24">
        <f>+(((0.0004)*'Quick Calculations'!$D$9)*'Quick Calculations'!$I$8)/(1-((0.0004)*'Quick Calculations'!$D$9))+(0.25*'Quick Calculations'!$I$6*'Quick Calculations'!$I$6)</f>
        <v>22.41710003281367</v>
      </c>
      <c r="K9" s="24">
        <f>2*((('Quick Calculations'!$I$6*'Quick Calculations'!$I$6)/2)*'Quick Calculations'!$D$8)</f>
        <v>3.02630607991682</v>
      </c>
      <c r="L9" s="24">
        <f>+(0.036*('Quick Calculations'!$D$5+'Quick Calculations'!$D$6))/2</f>
        <v>0.72</v>
      </c>
      <c r="M9" s="89">
        <f>+$C9+$D9+$E9</f>
        <v>2.7199999999999998</v>
      </c>
      <c r="N9" s="24">
        <f>+'Quick Calculations'!$I$8/('Quick Calculations'!$I$8+'Quick Calculations'!$D$16)*100</f>
        <v>83.41249764421248</v>
      </c>
      <c r="O9" s="86"/>
      <c r="P9" s="86"/>
      <c r="Q9" s="86"/>
      <c r="R9" s="86"/>
      <c r="S9" s="86"/>
      <c r="T9" s="86"/>
    </row>
    <row r="10" spans="1:20" ht="12.75">
      <c r="A10" s="86"/>
      <c r="B10" s="88">
        <v>5</v>
      </c>
      <c r="C10" s="24">
        <f>IF($B10&lt;('Quick Calculations'!$I$8+2.5),(((((0.0004+('Quick Calculations'!$I$10/1000000))*'Quick Calculations'!$D$9)*$B10)/(1-((0.0004+('Quick Calculations'!$I$10/1000000))*'Quick Calculations'!$D$9)))+($B10/'Quick Calculations'!$D$7)*2*0.25)+2,"")</f>
        <v>2.8550434616611664</v>
      </c>
      <c r="D10" s="24">
        <f>IF($B10&lt;('Quick Calculations'!$I$8+2.5),($B10/'Quick Calculations'!$D$7*2*'Quick Calculations'!$D$8),"")</f>
        <v>0.11249999999999999</v>
      </c>
      <c r="E10" s="24">
        <f>IF($B10&lt;('Quick Calculations'!$I$8+2.5),0.036*('Quick Calculations'!$D$5+'Quick Calculations'!$D$6)/2,"")</f>
        <v>0.72</v>
      </c>
      <c r="F10" s="89">
        <f>IF($B10&lt;('Quick Calculations'!$I$8+2.5),$C10+$D10+$E10,"")</f>
        <v>3.687543461661166</v>
      </c>
      <c r="G10" s="89">
        <f>IF($B10&lt;('Quick Calculations'!$I$8+2.5),($B10/($B10+$F10))*100,"")</f>
        <v>57.55366890612296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12.75">
      <c r="A11" s="86"/>
      <c r="B11" s="88">
        <v>10</v>
      </c>
      <c r="C11" s="24">
        <f>IF($B11&lt;('Quick Calculations'!$I$8+2.5),(((((0.0004+('Quick Calculations'!$I$10/1000000))*'Quick Calculations'!$D$9)*$B11)/(1-((0.0004+('Quick Calculations'!$I$10/1000000))*'Quick Calculations'!$D$9)))+($B11/'Quick Calculations'!$D$7)*2*0.25)+1.75,"")</f>
        <v>3.460086923322333</v>
      </c>
      <c r="D11" s="24">
        <f>IF($B11&lt;('Quick Calculations'!$I$8+2.5),($B11/'Quick Calculations'!$D$7*2*'Quick Calculations'!$D$8),"")</f>
        <v>0.22499999999999998</v>
      </c>
      <c r="E11" s="24">
        <f>IF($B11&lt;('Quick Calculations'!$I$8+2.5),0.036*('Quick Calculations'!$D$5+'Quick Calculations'!$D$6)/2,"")</f>
        <v>0.72</v>
      </c>
      <c r="F11" s="89">
        <f>IF($B11&lt;('Quick Calculations'!$I$8+2.5),$C11+$D11+$E11,"")</f>
        <v>4.405086923322333</v>
      </c>
      <c r="G11" s="89">
        <f>IF($B11&lt;('Quick Calculations'!$I$8+2.5),($B11/($B11+$F11))*100,"")</f>
        <v>69.41992126274265</v>
      </c>
      <c r="H11" s="86"/>
      <c r="I11" s="90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12.75">
      <c r="A12" s="86"/>
      <c r="B12" s="88">
        <v>15</v>
      </c>
      <c r="C12" s="24">
        <f>IF($B12&lt;('Quick Calculations'!$I$8+2.5),(((((0.0004+('Quick Calculations'!$I$10/1000000))*'Quick Calculations'!$D$9)*$B12)/(1-((0.0004+('Quick Calculations'!$I$10/1000000))*'Quick Calculations'!$D$9)))+($B12/'Quick Calculations'!$D$7)*2*0.25)+1.5,"")</f>
        <v>4.065130384983499</v>
      </c>
      <c r="D12" s="24">
        <f>IF($B12&lt;('Quick Calculations'!$I$8+2.5),($B12/'Quick Calculations'!$D$7*2*'Quick Calculations'!$D$8),"")</f>
        <v>0.33749999999999997</v>
      </c>
      <c r="E12" s="24">
        <f>IF($B12&lt;('Quick Calculations'!$I$8+2.5),0.036*('Quick Calculations'!$D$5+'Quick Calculations'!$D$6)/2,"")</f>
        <v>0.72</v>
      </c>
      <c r="F12" s="89">
        <f>IF($B12&lt;('Quick Calculations'!$I$8+2.5),$C12+$D12+$E12,"")</f>
        <v>5.122630384983499</v>
      </c>
      <c r="G12" s="89">
        <f>IF($B12&lt;('Quick Calculations'!$I$8+2.5),($B12/($B12+$F12))*100,"")</f>
        <v>74.54293853746745</v>
      </c>
      <c r="H12" s="86"/>
      <c r="I12" s="86"/>
      <c r="J12" s="86" t="s">
        <v>104</v>
      </c>
      <c r="K12" s="86" t="s">
        <v>105</v>
      </c>
      <c r="L12" s="86" t="s">
        <v>106</v>
      </c>
      <c r="M12" s="86"/>
      <c r="N12" s="86"/>
      <c r="O12" s="86"/>
      <c r="P12" s="86"/>
      <c r="Q12" s="86"/>
      <c r="R12" s="86"/>
      <c r="S12" s="86"/>
      <c r="T12" s="86"/>
    </row>
    <row r="13" spans="1:20" ht="12.75">
      <c r="A13" s="86"/>
      <c r="B13" s="88">
        <v>20</v>
      </c>
      <c r="C13" s="24">
        <f>IF($B13&lt;('Quick Calculations'!$I$8+2.5),(((((0.0004+('Quick Calculations'!$I$10/1000000))*'Quick Calculations'!$D$9)*$B13)/(1-((0.0004+('Quick Calculations'!$I$10/1000000))*'Quick Calculations'!$D$9)))+($B13/'Quick Calculations'!$D$7)*2*0.25)+1.5,"")</f>
        <v>4.920173846644666</v>
      </c>
      <c r="D13" s="24">
        <f>IF($B13&lt;('Quick Calculations'!$I$8+2.5),($B13/'Quick Calculations'!$D$7*2*'Quick Calculations'!$D$8),"")</f>
        <v>0.44999999999999996</v>
      </c>
      <c r="E13" s="24">
        <f>IF($B13&lt;('Quick Calculations'!$I$8+2.5),0.036*('Quick Calculations'!$D$5+'Quick Calculations'!$D$6)/2,"")</f>
        <v>0.72</v>
      </c>
      <c r="F13" s="89">
        <f>IF($B13&lt;('Quick Calculations'!$I$8+2.5),$C13+$D13+$E13,"")</f>
        <v>6.0901738466446655</v>
      </c>
      <c r="G13" s="89">
        <f>IF($B13&lt;('Quick Calculations'!$I$8+2.5),($B13/($B13+$F13))*100,"")</f>
        <v>76.65721247224309</v>
      </c>
      <c r="H13" s="86"/>
      <c r="I13" s="86"/>
      <c r="J13" s="86">
        <f>+(J16*$B23)/(1-J16)</f>
        <v>3.220608463256329</v>
      </c>
      <c r="K13" s="86">
        <f>+(B23/4)*2*0.25</f>
        <v>8.75</v>
      </c>
      <c r="L13" s="86">
        <f>+J13+K13</f>
        <v>11.97060846325633</v>
      </c>
      <c r="M13" s="86"/>
      <c r="N13" s="86"/>
      <c r="O13" s="86"/>
      <c r="P13" s="86"/>
      <c r="Q13" s="86"/>
      <c r="R13" s="86"/>
      <c r="S13" s="86"/>
      <c r="T13" s="86"/>
    </row>
    <row r="14" spans="1:20" ht="12.75">
      <c r="A14" s="86"/>
      <c r="B14" s="88">
        <v>25</v>
      </c>
      <c r="C14" s="24">
        <f>IF($B14&lt;('Quick Calculations'!$I$8+2.5),(((((0.0004+('Quick Calculations'!$I$10/1000000))*'Quick Calculations'!$D$9)*$B14)/(1-((0.0004+('Quick Calculations'!$I$10/1000000))*'Quick Calculations'!$D$9)))+($B14/'Quick Calculations'!$D$7)*2*0.25)+1.25,"")</f>
        <v>5.525217308305832</v>
      </c>
      <c r="D14" s="24">
        <f>IF($B14&lt;('Quick Calculations'!$I$8+2.5),($B14/'Quick Calculations'!$D$7*2*'Quick Calculations'!$D$8),"")</f>
        <v>0.5625</v>
      </c>
      <c r="E14" s="24">
        <f>IF($B14&lt;('Quick Calculations'!$I$8+2.5),0.036*('Quick Calculations'!$D$5+'Quick Calculations'!$D$6)/2,"")</f>
        <v>0.72</v>
      </c>
      <c r="F14" s="89">
        <f>IF($B14&lt;('Quick Calculations'!$I$8+2.5),$C14+$D14+$E14,"")</f>
        <v>6.807717308305832</v>
      </c>
      <c r="G14" s="89">
        <f>IF($B14&lt;('Quick Calculations'!$I$8+2.5),($B14/($B14+$F14))*100,"")</f>
        <v>78.59727800546014</v>
      </c>
      <c r="H14" s="86"/>
      <c r="I14" s="86"/>
      <c r="J14" s="86">
        <f>+(J16*'Quick Calculations'!$I$8)/(1-J16)</f>
        <v>6.188303623500232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2.75">
      <c r="A15" s="86"/>
      <c r="B15" s="88">
        <v>30</v>
      </c>
      <c r="C15" s="24">
        <f>IF($B15&lt;('Quick Calculations'!$I$8+2.5),(((((0.0004+('Quick Calculations'!$I$10/1000000))*'Quick Calculations'!$D$9)*$B15)/(1-((0.0004+('Quick Calculations'!$I$10/1000000))*'Quick Calculations'!$D$9)))+($B15/'Quick Calculations'!$D$7)*2*0.25)+1.25,"")</f>
        <v>6.380260769966998</v>
      </c>
      <c r="D15" s="24">
        <f>IF($B15&lt;('Quick Calculations'!$I$8+2.5),($B15/'Quick Calculations'!$D$7*2*'Quick Calculations'!$D$8),"")</f>
        <v>0.6749999999999999</v>
      </c>
      <c r="E15" s="24">
        <f>IF($B15&lt;('Quick Calculations'!$I$8+2.5),0.036*('Quick Calculations'!$D$5+'Quick Calculations'!$D$6)/2,"")</f>
        <v>0.72</v>
      </c>
      <c r="F15" s="89">
        <f>IF($B15&lt;('Quick Calculations'!$I$8+2.5),$C15+$D15+$E15,"")</f>
        <v>7.775260769966998</v>
      </c>
      <c r="G15" s="89">
        <f>IF($B15&lt;('Quick Calculations'!$I$8+2.5),($B15/($B15+$F15))*100,"")</f>
        <v>79.41705600044811</v>
      </c>
      <c r="H15" s="86"/>
      <c r="I15" s="86"/>
      <c r="J15" s="86" t="s">
        <v>107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12.75">
      <c r="A16" s="86"/>
      <c r="B16" s="88">
        <v>35</v>
      </c>
      <c r="C16" s="24">
        <f>IF($B16&lt;('Quick Calculations'!$I$8+2.5),(((((0.0004+('Quick Calculations'!$I$10/1000000))*'Quick Calculations'!$D$9)*$B16)/(1-((0.0004+('Quick Calculations'!$I$10/1000000))*'Quick Calculations'!$D$9)))+($B16/'Quick Calculations'!$D$7)*2*0.25)+1,"")</f>
        <v>6.985304231628165</v>
      </c>
      <c r="D16" s="24">
        <f>IF($B16&lt;('Quick Calculations'!$I$8+2.5),($B16/'Quick Calculations'!$D$7*2*'Quick Calculations'!$D$8),"")</f>
        <v>0.7875</v>
      </c>
      <c r="E16" s="24">
        <f>IF($B16&lt;('Quick Calculations'!$I$8+2.5),0.036*('Quick Calculations'!$D$5+'Quick Calculations'!$D$6)/2,"")</f>
        <v>0.72</v>
      </c>
      <c r="F16" s="89">
        <f>IF($B16&lt;('Quick Calculations'!$I$8+2.5),$C16+$D16+$E16,"")</f>
        <v>8.492804231628165</v>
      </c>
      <c r="G16" s="89">
        <f>IF($B16&lt;('Quick Calculations'!$I$8+2.5),($B16/($B16+$F16))*100,"")</f>
        <v>80.47308196914985</v>
      </c>
      <c r="H16" s="86"/>
      <c r="I16" s="86"/>
      <c r="J16" s="86">
        <f>+((0.0004+('Quick Calculations'!$I$10/1000000))*'Quick Calculations'!$D$9)</f>
        <v>0.043984999999999996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12.75">
      <c r="A17" s="86"/>
      <c r="B17" s="88">
        <v>40</v>
      </c>
      <c r="C17" s="24">
        <f>IF($B17&lt;('Quick Calculations'!$I$8+2.5),(((((0.0004+('Quick Calculations'!$I$10/1000000))*'Quick Calculations'!$D$9)*$B17)/(1-((0.0004+('Quick Calculations'!$I$10/1000000))*'Quick Calculations'!$D$9)))+($B17/'Quick Calculations'!$D$7)*2*0.25)+1,"")</f>
        <v>7.840347693289331</v>
      </c>
      <c r="D17" s="24">
        <f>IF($B17&lt;('Quick Calculations'!$I$8+2.5),($B17/'Quick Calculations'!$D$7*2*'Quick Calculations'!$D$8),"")</f>
        <v>0.8999999999999999</v>
      </c>
      <c r="E17" s="24">
        <f>IF($B17&lt;('Quick Calculations'!$I$8+2.5),0.036*('Quick Calculations'!$D$5+'Quick Calculations'!$D$6)/2,"")</f>
        <v>0.72</v>
      </c>
      <c r="F17" s="89">
        <f>IF($B17&lt;('Quick Calculations'!$I$8+2.5),$C17+$D17+$E17,"")</f>
        <v>9.460347693289332</v>
      </c>
      <c r="G17" s="89">
        <f>IF($B17&lt;('Quick Calculations'!$I$8+2.5),($B17/($B17+$F17))*100,"")</f>
        <v>80.87286455818244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12.75">
      <c r="A18" s="86"/>
      <c r="B18" s="88">
        <v>45</v>
      </c>
      <c r="C18" s="24">
        <f>IF($B18&lt;('Quick Calculations'!$I$8+2.5),(((((0.0004+('Quick Calculations'!$I$10/1000000))*'Quick Calculations'!$D$9)*$B18)/(1-((0.0004+('Quick Calculations'!$I$10/1000000))*'Quick Calculations'!$D$9)))+($B18/'Quick Calculations'!$D$7)*2*0.25)+0.75,"")</f>
        <v>8.445391154950498</v>
      </c>
      <c r="D18" s="24">
        <f>IF($B18&lt;('Quick Calculations'!$I$8+2.5),($B18/'Quick Calculations'!$D$7*2*'Quick Calculations'!$D$8),"")</f>
        <v>1.0125</v>
      </c>
      <c r="E18" s="24">
        <f>IF($B18&lt;('Quick Calculations'!$I$8+2.5),0.036*('Quick Calculations'!$D$5+'Quick Calculations'!$D$6)/2,"")</f>
        <v>0.72</v>
      </c>
      <c r="F18" s="89">
        <f>IF($B18&lt;('Quick Calculations'!$I$8+2.5),$C18+$D18+$E18,"")</f>
        <v>10.177891154950498</v>
      </c>
      <c r="G18" s="89">
        <f>IF($B18&lt;('Quick Calculations'!$I$8+2.5),($B18/($B18+$F18))*100,"")</f>
        <v>81.55440350851946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ht="12.75">
      <c r="A19" s="86"/>
      <c r="B19" s="88">
        <v>50</v>
      </c>
      <c r="C19" s="24">
        <f>IF($B19&lt;('Quick Calculations'!$I$8+2.5),(((((0.0004+('Quick Calculations'!$I$10/1000000))*'Quick Calculations'!$D$9)*$B19)/(1-((0.0004+('Quick Calculations'!$I$10/1000000))*'Quick Calculations'!$D$9)))+($B19/'Quick Calculations'!$D$7)*2*0.25)+0.75,"")</f>
        <v>9.300434616611664</v>
      </c>
      <c r="D19" s="24">
        <f>IF($B19&lt;('Quick Calculations'!$I$8+2.5),($B19/'Quick Calculations'!$D$7*2*'Quick Calculations'!$D$8),"")</f>
        <v>1.125</v>
      </c>
      <c r="E19" s="24">
        <f>IF($B19&lt;('Quick Calculations'!$I$8+2.5),0.036*('Quick Calculations'!$D$5+'Quick Calculations'!$D$6)/2,"")</f>
        <v>0.72</v>
      </c>
      <c r="F19" s="89">
        <f>IF($B19&lt;('Quick Calculations'!$I$8+2.5),$C19+$D19+$E19,"")</f>
        <v>11.145434616611665</v>
      </c>
      <c r="G19" s="89">
        <f>IF($B19&lt;('Quick Calculations'!$I$8+2.5),($B19/($B19+$F19))*100,"")</f>
        <v>81.7722538297508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ht="12.75">
      <c r="A20" s="86"/>
      <c r="B20" s="88">
        <v>55</v>
      </c>
      <c r="C20" s="24">
        <f>IF($B20&lt;('Quick Calculations'!$I$8+2.5),(((((0.0004+('Quick Calculations'!$I$10/1000000))*'Quick Calculations'!$D$9)*$B20)/(1-((0.0004+('Quick Calculations'!$I$10/1000000))*'Quick Calculations'!$D$9)))+($B20/'Quick Calculations'!$D$7)*2*0.25)+0.5,"")</f>
        <v>9.90547807827283</v>
      </c>
      <c r="D20" s="24">
        <f>IF($B20&lt;('Quick Calculations'!$I$8+2.5),($B20/'Quick Calculations'!$D$7*2*'Quick Calculations'!$D$8),"")</f>
        <v>1.2375</v>
      </c>
      <c r="E20" s="24">
        <f>IF($B20&lt;('Quick Calculations'!$I$8+2.5),0.036*('Quick Calculations'!$D$5+'Quick Calculations'!$D$6)/2,"")</f>
        <v>0.72</v>
      </c>
      <c r="F20" s="89">
        <f>IF($B20&lt;('Quick Calculations'!$I$8+2.5),$C20+$D20+$E20,"")</f>
        <v>11.862978078272832</v>
      </c>
      <c r="G20" s="89">
        <f>IF($B20&lt;('Quick Calculations'!$I$8+2.5),($B20/($B20+$F20))*100,"")</f>
        <v>82.25777789259477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ht="12.75">
      <c r="A21" s="86"/>
      <c r="B21" s="88">
        <v>60</v>
      </c>
      <c r="C21" s="24">
        <f>IF($B21&lt;('Quick Calculations'!$I$8+2.5),(((((0.0004+('Quick Calculations'!$I$10/1000000))*'Quick Calculations'!$D$9)*$B21)/(1-((0.0004+('Quick Calculations'!$I$10/1000000))*'Quick Calculations'!$D$9)))+($B21/'Quick Calculations'!$D$7)*2*0.25)+0.5,"")</f>
        <v>10.760521539933997</v>
      </c>
      <c r="D21" s="24">
        <f>IF($B21&lt;('Quick Calculations'!$I$8+2.5),($B21/'Quick Calculations'!$D$7*2*'Quick Calculations'!$D$8),"")</f>
        <v>1.3499999999999999</v>
      </c>
      <c r="E21" s="24">
        <f>IF($B21&lt;('Quick Calculations'!$I$8+2.5),0.036*('Quick Calculations'!$D$5+'Quick Calculations'!$D$6)/2,"")</f>
        <v>0.72</v>
      </c>
      <c r="F21" s="89">
        <f>IF($B21&lt;('Quick Calculations'!$I$8+2.5),$C21+$D21+$E21,"")</f>
        <v>12.830521539933997</v>
      </c>
      <c r="G21" s="89">
        <f>IF($B21&lt;('Quick Calculations'!$I$8+2.5),($B21/($B21+$F21))*100,"")</f>
        <v>82.38304316837983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ht="12.75">
      <c r="A22" s="86"/>
      <c r="B22" s="88">
        <v>65</v>
      </c>
      <c r="C22" s="24">
        <f>IF($B22&lt;('Quick Calculations'!$I$8+2.5),(((((0.0004+('Quick Calculations'!$I$10/1000000))*'Quick Calculations'!$D$9)*$B22)/(1-((0.0004+('Quick Calculations'!$I$10/1000000))*'Quick Calculations'!$D$9)))+($B22/'Quick Calculations'!$D$7)*2*0.25)+0.25,"")</f>
        <v>11.365565001595163</v>
      </c>
      <c r="D22" s="24">
        <f>IF($B22&lt;('Quick Calculations'!$I$8+2.5),($B22/'Quick Calculations'!$D$7*2*'Quick Calculations'!$D$8),"")</f>
        <v>1.4625</v>
      </c>
      <c r="E22" s="24">
        <f>IF($B22&lt;('Quick Calculations'!$I$8+2.5),0.036*('Quick Calculations'!$D$5+'Quick Calculations'!$D$6)/2,"")</f>
        <v>0.72</v>
      </c>
      <c r="F22" s="89">
        <f>IF($B22&lt;('Quick Calculations'!$I$8+2.5),$C22+$D22+$E22,"")</f>
        <v>13.548065001595164</v>
      </c>
      <c r="G22" s="89">
        <f>IF($B22&lt;('Quick Calculations'!$I$8+2.5),($B22/($B22+$F22))*100,"")</f>
        <v>82.75187937306919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ht="12.75">
      <c r="A23" s="86"/>
      <c r="B23" s="88">
        <v>70</v>
      </c>
      <c r="C23" s="24">
        <f>IF($B23&lt;('Quick Calculations'!$I$8+2.5),(((((0.0004+('Quick Calculations'!$I$10/1000000))*'Quick Calculations'!$D$9)*$B23)/(1-((0.0004+('Quick Calculations'!$I$10/1000000))*'Quick Calculations'!$D$9)))+($B23/'Quick Calculations'!$D$7)*2*0.25),"")</f>
        <v>11.97060846325633</v>
      </c>
      <c r="D23" s="24">
        <f>IF($B23&lt;('Quick Calculations'!$I$8+2.5),($B23/'Quick Calculations'!$D$7*2*'Quick Calculations'!$D$8),"")</f>
        <v>1.575</v>
      </c>
      <c r="E23" s="24">
        <f>IF($B23&lt;('Quick Calculations'!$I$8+2.5),0.036*('Quick Calculations'!$D$5+'Quick Calculations'!$D$6)/2,"")</f>
        <v>0.72</v>
      </c>
      <c r="F23" s="89">
        <f>IF($B23&lt;('Quick Calculations'!$I$8+2.5),$C23+$D23+$E23,"")</f>
        <v>14.26560846325633</v>
      </c>
      <c r="G23" s="89">
        <f>IF($B23&lt;('Quick Calculations'!$I$8+2.5),($B23/($B23+$F23))*100,"")</f>
        <v>83.07066343741315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ht="12.75">
      <c r="A24" s="86"/>
      <c r="B24" s="88">
        <v>75</v>
      </c>
      <c r="C24" s="24">
        <f>IF($B24&lt;('Quick Calculations'!$I$8+2.5),(((((0.0004+('Quick Calculations'!$I$10/1000000))*'Quick Calculations'!$D$9)*$B24)/(1-((0.0004+('Quick Calculations'!$I$10/1000000))*'Quick Calculations'!$D$9)))+($B24/'Quick Calculations'!$D$7)*2*0.25),"")</f>
        <v>12.825651924917496</v>
      </c>
      <c r="D24" s="24">
        <f>IF($B24&lt;('Quick Calculations'!$I$8+2.5),($B24/'Quick Calculations'!$D$7*2*'Quick Calculations'!$D$8),"")</f>
        <v>1.6875</v>
      </c>
      <c r="E24" s="24">
        <f>IF($B24&lt;('Quick Calculations'!$I$8+2.5),0.036*('Quick Calculations'!$D$5+'Quick Calculations'!$D$6)/2,"")</f>
        <v>0.72</v>
      </c>
      <c r="F24" s="89">
        <f>IF($B24&lt;('Quick Calculations'!$I$8+2.5),$C24+$D24+$E24,"")</f>
        <v>15.233151924917497</v>
      </c>
      <c r="G24" s="89">
        <f>IF($B24&lt;('Quick Calculations'!$I$8+2.5),($B24/($B24+$F24))*100,"")</f>
        <v>83.11800973372523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ht="12.75">
      <c r="A25" s="86"/>
      <c r="B25" s="88">
        <v>80</v>
      </c>
      <c r="C25" s="24">
        <f>IF($B25&lt;('Quick Calculations'!$I$8+2.5),(((((0.0004+('Quick Calculations'!$I$10/1000000))*'Quick Calculations'!$D$9)*$B25)/(1-((0.0004+('Quick Calculations'!$I$10/1000000))*'Quick Calculations'!$D$9)))+($B25/'Quick Calculations'!$D$7)*2*0.25),"")</f>
        <v>13.680695386578662</v>
      </c>
      <c r="D25" s="24">
        <f>IF($B25&lt;('Quick Calculations'!$I$8+2.5),($B25/'Quick Calculations'!$D$7*2*'Quick Calculations'!$D$8),"")</f>
        <v>1.7999999999999998</v>
      </c>
      <c r="E25" s="24">
        <f>IF($B25&lt;('Quick Calculations'!$I$8+2.5),0.036*('Quick Calculations'!$D$5+'Quick Calculations'!$D$6)/2,"")</f>
        <v>0.72</v>
      </c>
      <c r="F25" s="89">
        <f>IF($B25&lt;('Quick Calculations'!$I$8+2.5),$C25+$D25+$E25,"")</f>
        <v>16.200695386578662</v>
      </c>
      <c r="G25" s="89">
        <f>IF($B25&lt;('Quick Calculations'!$I$8+2.5),($B25/($B25+$F25))*100,"")</f>
        <v>83.15948203754992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ht="12.75">
      <c r="A26" s="86"/>
      <c r="B26" s="88">
        <v>85</v>
      </c>
      <c r="C26" s="24">
        <f>IF($B26&lt;('Quick Calculations'!$I$8+2.5),(((((0.0004+('Quick Calculations'!$I$10/1000000))*'Quick Calculations'!$D$9)*$B26)/(1-((0.0004+('Quick Calculations'!$I$10/1000000))*'Quick Calculations'!$D$9)))+($B26/'Quick Calculations'!$D$7)*2*0.25),"")</f>
        <v>14.535738848239829</v>
      </c>
      <c r="D26" s="24">
        <f>IF($B26&lt;('Quick Calculations'!$I$8+2.5),($B26/'Quick Calculations'!$D$7*2*'Quick Calculations'!$D$8),"")</f>
        <v>1.9124999999999999</v>
      </c>
      <c r="E26" s="24">
        <f>IF($B26&lt;('Quick Calculations'!$I$8+2.5),0.036*('Quick Calculations'!$D$5+'Quick Calculations'!$D$6)/2,"")</f>
        <v>0.72</v>
      </c>
      <c r="F26" s="89">
        <f>IF($B26&lt;('Quick Calculations'!$I$8+2.5),$C26+$D26+$E26,"")</f>
        <v>17.168238848239827</v>
      </c>
      <c r="G26" s="89">
        <f>IF($B26&lt;('Quick Calculations'!$I$8+2.5),($B26/($B26+$F26))*100,"")</f>
        <v>83.19610963076163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ht="12.75">
      <c r="A27" s="86"/>
      <c r="B27" s="88">
        <v>90</v>
      </c>
      <c r="C27" s="24">
        <f>IF($B27&lt;('Quick Calculations'!$I$8+2.5),(((((0.0004+('Quick Calculations'!$I$10/1000000))*'Quick Calculations'!$D$9)*$B27)/(1-((0.0004+('Quick Calculations'!$I$10/1000000))*'Quick Calculations'!$D$9)))+($B27/'Quick Calculations'!$D$7)*2*0.25),"")</f>
        <v>15.390782309900995</v>
      </c>
      <c r="D27" s="24">
        <f>IF($B27&lt;('Quick Calculations'!$I$8+2.5),($B27/'Quick Calculations'!$D$7*2*'Quick Calculations'!$D$8),"")</f>
        <v>2.025</v>
      </c>
      <c r="E27" s="24">
        <f>IF($B27&lt;('Quick Calculations'!$I$8+2.5),0.036*('Quick Calculations'!$D$5+'Quick Calculations'!$D$6)/2,"")</f>
        <v>0.72</v>
      </c>
      <c r="F27" s="89">
        <f>IF($B27&lt;('Quick Calculations'!$I$8+2.5),$C27+$D27+$E27,"")</f>
        <v>18.135782309900993</v>
      </c>
      <c r="G27" s="89">
        <f>IF($B27&lt;('Quick Calculations'!$I$8+2.5),($B27/($B27+$F27))*100,"")</f>
        <v>83.22869458887665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2.75">
      <c r="A28" s="86"/>
      <c r="B28" s="88">
        <v>95</v>
      </c>
      <c r="C28" s="24">
        <f>IF($B28&lt;('Quick Calculations'!$I$8+2.5),(((((0.0004+('Quick Calculations'!$I$10/1000000))*'Quick Calculations'!$D$9)*$B28)/(1-((0.0004+('Quick Calculations'!$I$10/1000000))*'Quick Calculations'!$D$9)))+($B28/'Quick Calculations'!$D$7)*2*0.25),"")</f>
        <v>16.24582577156216</v>
      </c>
      <c r="D28" s="24">
        <f>IF($B28&lt;('Quick Calculations'!$I$8+2.5),($B28/'Quick Calculations'!$D$7*2*'Quick Calculations'!$D$8),"")</f>
        <v>2.1374999999999997</v>
      </c>
      <c r="E28" s="24">
        <f>IF($B28&lt;('Quick Calculations'!$I$8+2.5),0.036*('Quick Calculations'!$D$5+'Quick Calculations'!$D$6)/2,"")</f>
        <v>0.72</v>
      </c>
      <c r="F28" s="89">
        <f>IF($B28&lt;('Quick Calculations'!$I$8+2.5),$C28+$D28+$E28,"")</f>
        <v>19.103325771562158</v>
      </c>
      <c r="G28" s="89">
        <f>IF($B28&lt;('Quick Calculations'!$I$8+2.5),($B28/($B28+$F28))*100,"")</f>
        <v>83.25787119491372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ht="12.75">
      <c r="A29" s="86"/>
      <c r="B29" s="88">
        <v>100</v>
      </c>
      <c r="C29" s="24">
        <f>IF($B29&lt;('Quick Calculations'!$I$8+2.5),(((((0.0004+('Quick Calculations'!$I$10/1000000))*'Quick Calculations'!$D$9)*$B29)/(1-((0.0004+('Quick Calculations'!$I$10/1000000))*'Quick Calculations'!$D$9)))+($B29/'Quick Calculations'!$D$7)*2*0.25),"")</f>
        <v>17.100869233223328</v>
      </c>
      <c r="D29" s="24">
        <f>IF($B29&lt;('Quick Calculations'!$I$8+2.5),($B29/'Quick Calculations'!$D$7*2*'Quick Calculations'!$D$8),"")</f>
        <v>2.25</v>
      </c>
      <c r="E29" s="24">
        <f>IF($B29&lt;('Quick Calculations'!$I$8+2.5),0.036*('Quick Calculations'!$D$5+'Quick Calculations'!$D$6)/2,"")</f>
        <v>0.72</v>
      </c>
      <c r="F29" s="89">
        <f>IF($B29&lt;('Quick Calculations'!$I$8+2.5),$C29+$D29+$E29,"")</f>
        <v>20.070869233223327</v>
      </c>
      <c r="G29" s="89">
        <f>IF($B29&lt;('Quick Calculations'!$I$8+2.5),($B29/($B29+$F29))*100,"")</f>
        <v>83.28414763597816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ht="12.75">
      <c r="A30" s="86"/>
      <c r="B30" s="88">
        <v>105</v>
      </c>
      <c r="C30" s="24">
        <f>IF($B30&lt;('Quick Calculations'!$I$8+2.5),(((((0.0004+('Quick Calculations'!$I$10/1000000))*'Quick Calculations'!$D$9)*$B30)/(1-((0.0004+('Quick Calculations'!$I$10/1000000))*'Quick Calculations'!$D$9)))+($B30/'Quick Calculations'!$D$7)*2*0.25),"")</f>
        <v>17.955912694884493</v>
      </c>
      <c r="D30" s="24">
        <f>IF($B30&lt;('Quick Calculations'!$I$8+2.5),($B30/'Quick Calculations'!$D$7*2*'Quick Calculations'!$D$8),"")</f>
        <v>2.3625</v>
      </c>
      <c r="E30" s="24">
        <f>IF($B30&lt;('Quick Calculations'!$I$8+2.5),0.036*('Quick Calculations'!$D$5+'Quick Calculations'!$D$6)/2,"")</f>
        <v>0.72</v>
      </c>
      <c r="F30" s="89">
        <f>IF($B30&lt;('Quick Calculations'!$I$8+2.5),$C30+$D30+$E30,"")</f>
        <v>21.038412694884492</v>
      </c>
      <c r="G30" s="89">
        <f>IF($B30&lt;('Quick Calculations'!$I$8+2.5),($B30/($B30+$F30))*100,"")</f>
        <v>83.30793585459175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0" ht="12.75">
      <c r="A31" s="86"/>
      <c r="B31" s="88">
        <v>110</v>
      </c>
      <c r="C31" s="24">
        <f>IF($B31&lt;('Quick Calculations'!$I$8+2.5),(((((0.0004+('Quick Calculations'!$I$10/1000000))*'Quick Calculations'!$D$9)*$B31)/(1-((0.0004+('Quick Calculations'!$I$10/1000000))*'Quick Calculations'!$D$9)))+($B31/'Quick Calculations'!$D$7)*2*0.25),"")</f>
        <v>18.81095615654566</v>
      </c>
      <c r="D31" s="24">
        <f>IF($B31&lt;('Quick Calculations'!$I$8+2.5),($B31/'Quick Calculations'!$D$7*2*'Quick Calculations'!$D$8),"")</f>
        <v>2.475</v>
      </c>
      <c r="E31" s="24">
        <f>IF($B31&lt;('Quick Calculations'!$I$8+2.5),0.036*('Quick Calculations'!$D$5+'Quick Calculations'!$D$6)/2,"")</f>
        <v>0.72</v>
      </c>
      <c r="F31" s="89">
        <f>IF($B31&lt;('Quick Calculations'!$I$8+2.5),$C31+$D31+$E31,"")</f>
        <v>22.00595615654566</v>
      </c>
      <c r="G31" s="89">
        <f>IF($B31&lt;('Quick Calculations'!$I$8+2.5),($B31/($B31+$F31))*100,"")</f>
        <v>83.32957330315548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2.75">
      <c r="A32" s="86"/>
      <c r="B32" s="88">
        <v>115</v>
      </c>
      <c r="C32" s="24">
        <f>IF($B32&lt;('Quick Calculations'!$I$8+2.5),(((((0.0004+('Quick Calculations'!$I$10/1000000))*'Quick Calculations'!$D$9)*$B32)/(1-((0.0004+('Quick Calculations'!$I$10/1000000))*'Quick Calculations'!$D$9)))+($B32/'Quick Calculations'!$D$7)*2*0.25),"")</f>
        <v>19.665999618206826</v>
      </c>
      <c r="D32" s="24">
        <f>IF($B32&lt;('Quick Calculations'!$I$8+2.5),($B32/'Quick Calculations'!$D$7*2*'Quick Calculations'!$D$8),"")</f>
        <v>2.5875</v>
      </c>
      <c r="E32" s="24">
        <f>IF($B32&lt;('Quick Calculations'!$I$8+2.5),0.036*('Quick Calculations'!$D$5+'Quick Calculations'!$D$6)/2,"")</f>
        <v>0.72</v>
      </c>
      <c r="F32" s="89">
        <f>IF($B32&lt;('Quick Calculations'!$I$8+2.5),$C32+$D32+$E32,"")</f>
        <v>22.973499618206823</v>
      </c>
      <c r="G32" s="89">
        <f>IF($B32&lt;('Quick Calculations'!$I$8+2.5),($B32/($B32+$F32))*100,"")</f>
        <v>83.34933905295009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2.75">
      <c r="A33" s="86"/>
      <c r="B33" s="88">
        <v>120</v>
      </c>
      <c r="C33" s="24">
        <f>IF($B33&lt;('Quick Calculations'!$I$8+2.5),(((((0.0004+('Quick Calculations'!$I$10/1000000))*'Quick Calculations'!$D$9)*$B33)/(1-((0.0004+('Quick Calculations'!$I$10/1000000))*'Quick Calculations'!$D$9)))+($B33/'Quick Calculations'!$D$7)*2*0.25),"")</f>
        <v>20.521043079867994</v>
      </c>
      <c r="D33" s="24">
        <f>IF($B33&lt;('Quick Calculations'!$I$8+2.5),($B33/'Quick Calculations'!$D$7*2*'Quick Calculations'!$D$8),"")</f>
        <v>2.6999999999999997</v>
      </c>
      <c r="E33" s="24">
        <f>IF($B33&lt;('Quick Calculations'!$I$8+2.5),0.036*('Quick Calculations'!$D$5+'Quick Calculations'!$D$6)/2,"")</f>
        <v>0.72</v>
      </c>
      <c r="F33" s="89">
        <f>IF($B33&lt;('Quick Calculations'!$I$8+2.5),$C33+$D33+$E33,"")</f>
        <v>23.941043079867992</v>
      </c>
      <c r="G33" s="89">
        <f>IF($B33&lt;('Quick Calculations'!$I$8+2.5),($B33/($B33+$F33))*100,"")</f>
        <v>83.36746589603084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12.75">
      <c r="A34" s="86"/>
      <c r="B34" s="88">
        <v>125</v>
      </c>
      <c r="C34" s="24">
        <f>IF($B34&lt;('Quick Calculations'!$I$8+2.5),(((((0.0004+('Quick Calculations'!$I$10/1000000))*'Quick Calculations'!$D$9)*$B34)/(1-((0.0004+('Quick Calculations'!$I$10/1000000))*'Quick Calculations'!$D$9)))+($B34/'Quick Calculations'!$D$7)*2*0.25),"")</f>
        <v>21.376086541529162</v>
      </c>
      <c r="D34" s="24">
        <f>IF($B34&lt;('Quick Calculations'!$I$8+2.5),($B34/'Quick Calculations'!$D$7*2*'Quick Calculations'!$D$8),"")</f>
        <v>2.8125</v>
      </c>
      <c r="E34" s="24">
        <f>IF($B34&lt;('Quick Calculations'!$I$8+2.5),0.036*('Quick Calculations'!$D$5+'Quick Calculations'!$D$6)/2,"")</f>
        <v>0.72</v>
      </c>
      <c r="F34" s="89">
        <f>IF($B34&lt;('Quick Calculations'!$I$8+2.5),$C34+$D34+$E34,"")</f>
        <v>24.90858654152916</v>
      </c>
      <c r="G34" s="89">
        <f>IF($B34&lt;('Quick Calculations'!$I$8+2.5),($B34/($B34+$F34))*100,"")</f>
        <v>83.38414955661747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2.75">
      <c r="A35" s="86"/>
      <c r="B35" s="88">
        <v>130</v>
      </c>
      <c r="C35" s="24">
        <f>IF($B35&lt;('Quick Calculations'!$I$8+2.5),(((((0.0004+('Quick Calculations'!$I$10/1000000))*'Quick Calculations'!$D$9)*$B35)/(1-((0.0004+('Quick Calculations'!$I$10/1000000))*'Quick Calculations'!$D$9)))+($B35/'Quick Calculations'!$D$7)*2*0.25),"")</f>
        <v>22.231130003190327</v>
      </c>
      <c r="D35" s="24">
        <f>IF($B35&lt;('Quick Calculations'!$I$8+2.5),($B35/'Quick Calculations'!$D$7*2*'Quick Calculations'!$D$8),"")</f>
        <v>2.925</v>
      </c>
      <c r="E35" s="24">
        <f>IF($B35&lt;('Quick Calculations'!$I$8+2.5),0.036*('Quick Calculations'!$D$5+'Quick Calculations'!$D$6)/2,"")</f>
        <v>0.72</v>
      </c>
      <c r="F35" s="89">
        <f>IF($B35&lt;('Quick Calculations'!$I$8+2.5),$C35+$D35+$E35,"")</f>
        <v>25.876130003190326</v>
      </c>
      <c r="G35" s="89">
        <f>IF($B35&lt;('Quick Calculations'!$I$8+2.5),($B35/($B35+$F35))*100,"")</f>
        <v>83.39955578659752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12.75">
      <c r="A36" s="86"/>
      <c r="B36" s="88">
        <v>135</v>
      </c>
      <c r="C36" s="24">
        <f>IF($B36&lt;('Quick Calculations'!$I$8+2.5),(((((0.0004+('Quick Calculations'!$I$10/1000000))*'Quick Calculations'!$D$9)*$B36)/(1-((0.0004+('Quick Calculations'!$I$10/1000000))*'Quick Calculations'!$D$9)))+($B36/'Quick Calculations'!$D$7)*2*0.25),"")</f>
        <v>23.08617346485149</v>
      </c>
      <c r="D36" s="24">
        <f>IF($B36&lt;('Quick Calculations'!$I$8+2.5),($B36/'Quick Calculations'!$D$7*2*'Quick Calculations'!$D$8),"")</f>
        <v>3.0375</v>
      </c>
      <c r="E36" s="24">
        <f>IF($B36&lt;('Quick Calculations'!$I$8+2.5),0.036*('Quick Calculations'!$D$5+'Quick Calculations'!$D$6)/2,"")</f>
        <v>0.72</v>
      </c>
      <c r="F36" s="89">
        <f>IF($B36&lt;('Quick Calculations'!$I$8+2.5),$C36+$D36+$E36,"")</f>
        <v>26.84367346485149</v>
      </c>
      <c r="G36" s="89">
        <f>IF($B36&lt;('Quick Calculations'!$I$8+2.5),($B36/($B36+$F36))*100,"")</f>
        <v>83.41382589126582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0" ht="12.75">
      <c r="A37" s="86"/>
      <c r="B37" s="88">
        <v>140</v>
      </c>
      <c r="C37" s="24">
        <f>IF($B37&lt;('Quick Calculations'!$I$8+2.5),(((((0.0004+('Quick Calculations'!$I$10/1000000))*'Quick Calculations'!$D$9)*$B37)/(1-((0.0004+('Quick Calculations'!$I$10/1000000))*'Quick Calculations'!$D$9)))+($B37/'Quick Calculations'!$D$7)*2*0.25),"")</f>
      </c>
      <c r="D37" s="24">
        <f>IF($B37&lt;('Quick Calculations'!$I$8+2.5),($B37/'Quick Calculations'!$D$7*2*'Quick Calculations'!$D$8),"")</f>
      </c>
      <c r="E37" s="24">
        <f>IF($B37&lt;('Quick Calculations'!$I$8+2.5),0.036*('Quick Calculations'!$D$5+'Quick Calculations'!$D$6)/2,"")</f>
      </c>
      <c r="F37" s="89">
        <f>IF($B37&lt;('Quick Calculations'!$I$8+2.5),$C37+$D37+$E37,"")</f>
      </c>
      <c r="G37" s="89">
        <f>IF($B37&lt;('Quick Calculations'!$I$8+2.5),($B37/($B37+$F37))*100,"")</f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1:20" ht="12.75">
      <c r="A38" s="86"/>
      <c r="B38" s="88">
        <v>145</v>
      </c>
      <c r="C38" s="24">
        <f>IF($B38&lt;('Quick Calculations'!$I$8+2.5),(((((0.0004+('Quick Calculations'!$I$10/1000000))*'Quick Calculations'!$D$9)*$B38)/(1-((0.0004+('Quick Calculations'!$I$10/1000000))*'Quick Calculations'!$D$9)))+($B38/'Quick Calculations'!$D$7)*2*0.25),"")</f>
      </c>
      <c r="D38" s="24">
        <f>IF($B38&lt;('Quick Calculations'!$I$8+2.5),($B38/'Quick Calculations'!$D$7*2*'Quick Calculations'!$D$8),"")</f>
      </c>
      <c r="E38" s="24">
        <f>IF($B38&lt;('Quick Calculations'!$I$8+2.5),0.036*('Quick Calculations'!$D$5+'Quick Calculations'!$D$6)/2,"")</f>
      </c>
      <c r="F38" s="89">
        <f>IF($B38&lt;('Quick Calculations'!$I$8+2.5),$C38+$D38+$E38,"")</f>
      </c>
      <c r="G38" s="89">
        <f>IF($B38&lt;('Quick Calculations'!$I$8+2.5),($B38/($B38+$F38))*100,"")</f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ht="12.75">
      <c r="A39" s="86"/>
      <c r="B39" s="88">
        <v>150</v>
      </c>
      <c r="C39" s="24">
        <f>IF($B39&lt;('Quick Calculations'!$I$8+2.5),(((((0.0004+('Quick Calculations'!$I$10/1000000))*'Quick Calculations'!$D$9)*$B39)/(1-((0.0004+('Quick Calculations'!$I$10/1000000))*'Quick Calculations'!$D$9)))+($B39/'Quick Calculations'!$D$7)*2*0.25),"")</f>
      </c>
      <c r="D39" s="24">
        <f>IF($B39&lt;('Quick Calculations'!$I$8+2.5),($B39/'Quick Calculations'!$D$7*2*'Quick Calculations'!$D$8),"")</f>
      </c>
      <c r="E39" s="24">
        <f>IF($B39&lt;('Quick Calculations'!$I$8+2.5),0.036*('Quick Calculations'!$D$5+'Quick Calculations'!$D$6)/2,"")</f>
      </c>
      <c r="F39" s="89">
        <f>IF($B39&lt;('Quick Calculations'!$I$8+2.5),$C39+$D39+$E39,"")</f>
      </c>
      <c r="G39" s="89">
        <f>IF($B39&lt;('Quick Calculations'!$I$8+2.5),($B39/($B39+$F39))*100,"")</f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1:20" ht="12.75">
      <c r="A40" s="86"/>
      <c r="B40" s="88">
        <v>155</v>
      </c>
      <c r="C40" s="24">
        <f>IF($B40&lt;('Quick Calculations'!$I$8+2.5),(((((0.0004+('Quick Calculations'!$I$10/1000000))*'Quick Calculations'!$D$9)*$B40)/(1-((0.0004+('Quick Calculations'!$I$10/1000000))*'Quick Calculations'!$D$9)))+($B40/'Quick Calculations'!$D$7)*2*0.25),"")</f>
      </c>
      <c r="D40" s="24">
        <f>IF($B40&lt;('Quick Calculations'!$I$8+2.5),($B40/'Quick Calculations'!$D$7*2*'Quick Calculations'!$D$8),"")</f>
      </c>
      <c r="E40" s="24">
        <f>IF($B40&lt;('Quick Calculations'!$I$8+2.5),0.036*('Quick Calculations'!$D$5+'Quick Calculations'!$D$6)/2,"")</f>
      </c>
      <c r="F40" s="89">
        <f>IF($B40&lt;('Quick Calculations'!$I$8+2.5),$C40+$D40+$E40,"")</f>
      </c>
      <c r="G40" s="89">
        <f>IF($B40&lt;('Quick Calculations'!$I$8+2.5),($B40/($B40+$F40))*100,"")</f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1:20" ht="12.75">
      <c r="A41" s="86"/>
      <c r="B41" s="88">
        <v>160</v>
      </c>
      <c r="C41" s="24">
        <f>IF($B41&lt;('Quick Calculations'!$I$8+2.5),(((((0.0004+('Quick Calculations'!$I$10/1000000))*'Quick Calculations'!$D$9)*$B41)/(1-((0.0004+('Quick Calculations'!$I$10/1000000))*'Quick Calculations'!$D$9)))+($B41/'Quick Calculations'!$D$7)*2*0.25),"")</f>
      </c>
      <c r="D41" s="24">
        <f>IF($B41&lt;('Quick Calculations'!$I$8+2.5),($B41/'Quick Calculations'!$D$7*2*'Quick Calculations'!$D$8),"")</f>
      </c>
      <c r="E41" s="24">
        <f>IF($B41&lt;('Quick Calculations'!$I$8+2.5),0.036*('Quick Calculations'!$D$5+'Quick Calculations'!$D$6)/2,"")</f>
      </c>
      <c r="F41" s="89">
        <f>IF($B41&lt;('Quick Calculations'!$I$8+2.5),$C41+$D41+$E41,"")</f>
      </c>
      <c r="G41" s="89">
        <f>IF($B41&lt;('Quick Calculations'!$I$8+2.5),($B41/($B41+$F41))*100,"")</f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1:20" ht="12.75">
      <c r="A42" s="86"/>
      <c r="B42" s="88">
        <v>165</v>
      </c>
      <c r="C42" s="24">
        <f>IF($B42&lt;('Quick Calculations'!$I$8+2.5),(((((0.0004+('Quick Calculations'!$I$10/1000000))*'Quick Calculations'!$D$9)*$B42)/(1-((0.0004+('Quick Calculations'!$I$10/1000000))*'Quick Calculations'!$D$9)))+($B42/'Quick Calculations'!$D$7)*2*0.25),"")</f>
      </c>
      <c r="D42" s="24">
        <f>IF($B42&lt;('Quick Calculations'!$I$8+2.5),($B42/'Quick Calculations'!$D$7*2*'Quick Calculations'!$D$8),"")</f>
      </c>
      <c r="E42" s="24">
        <f>IF($B42&lt;('Quick Calculations'!$I$8+2.5),0.036*('Quick Calculations'!$D$5+'Quick Calculations'!$D$6)/2,"")</f>
      </c>
      <c r="F42" s="89">
        <f>IF($B42&lt;('Quick Calculations'!$I$8+2.5),$C42+$D42+$E42,"")</f>
      </c>
      <c r="G42" s="89">
        <f>IF($B42&lt;('Quick Calculations'!$I$8+2.5),($B42/($B42+$F42))*100,"")</f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1:20" ht="12.75">
      <c r="A43" s="86"/>
      <c r="B43" s="88">
        <v>170</v>
      </c>
      <c r="C43" s="24">
        <f>IF($B43&lt;('Quick Calculations'!$I$8+2.5),(((((0.0004+('Quick Calculations'!$I$10/1000000))*'Quick Calculations'!$D$9)*$B43)/(1-((0.0004+('Quick Calculations'!$I$10/1000000))*'Quick Calculations'!$D$9)))+($B43/'Quick Calculations'!$D$7)*2*0.25),"")</f>
      </c>
      <c r="D43" s="24">
        <f>IF($B43&lt;('Quick Calculations'!$I$8+2.5),($B43/'Quick Calculations'!$D$7*2*'Quick Calculations'!$D$8),"")</f>
      </c>
      <c r="E43" s="24">
        <f>IF($B43&lt;('Quick Calculations'!$I$8+2.5),0.036*('Quick Calculations'!$D$5+'Quick Calculations'!$D$6)/2,"")</f>
      </c>
      <c r="F43" s="89">
        <f>IF($B43&lt;('Quick Calculations'!$I$8+2.5),$C43+$D43+$E43,"")</f>
      </c>
      <c r="G43" s="89">
        <f>IF($B43&lt;('Quick Calculations'!$I$8+2.5),($B43/($B43+$F43))*100,"")</f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20" ht="12.75">
      <c r="A44" s="86"/>
      <c r="B44" s="88">
        <v>175</v>
      </c>
      <c r="C44" s="24">
        <f>IF($B44&lt;('Quick Calculations'!$I$8+2.5),(((((0.0004+('Quick Calculations'!$I$10/1000000))*'Quick Calculations'!$D$9)*$B44)/(1-((0.0004+('Quick Calculations'!$I$10/1000000))*'Quick Calculations'!$D$9)))+($B44/'Quick Calculations'!$D$7)*2*0.25),"")</f>
      </c>
      <c r="D44" s="24">
        <f>IF($B44&lt;('Quick Calculations'!$I$8+2.5),($B44/'Quick Calculations'!$D$7*2*'Quick Calculations'!$D$8),"")</f>
      </c>
      <c r="E44" s="24">
        <f>IF($B44&lt;('Quick Calculations'!$I$8+2.5),0.036*('Quick Calculations'!$D$5+'Quick Calculations'!$D$6)/2,"")</f>
      </c>
      <c r="F44" s="89">
        <f>IF($B44&lt;('Quick Calculations'!$I$8+2.5),$C44+$D44+$E44,"")</f>
      </c>
      <c r="G44" s="89">
        <f>IF($B44&lt;('Quick Calculations'!$I$8+2.5),($B44/($B44+$F44))*100,"")</f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12.75">
      <c r="A45" s="86"/>
      <c r="B45" s="88">
        <v>180</v>
      </c>
      <c r="C45" s="24">
        <f>IF($B45&lt;('Quick Calculations'!$I$8+2.5),(((((0.0004+('Quick Calculations'!$I$10/1000000))*'Quick Calculations'!$D$9)*$B45)/(1-((0.0004+('Quick Calculations'!$I$10/1000000))*'Quick Calculations'!$D$9)))+($B45/'Quick Calculations'!$D$7)*2*0.25),"")</f>
      </c>
      <c r="D45" s="24">
        <f>IF($B45&lt;('Quick Calculations'!$I$8+2.5),($B45/'Quick Calculations'!$D$7*2*'Quick Calculations'!$D$8),"")</f>
      </c>
      <c r="E45" s="24">
        <f>IF($B45&lt;('Quick Calculations'!$I$8+2.5),0.036*('Quick Calculations'!$D$5+'Quick Calculations'!$D$6)/2,"")</f>
      </c>
      <c r="F45" s="89">
        <f>IF($B45&lt;('Quick Calculations'!$I$8+2.5),$C45+$D45+$E45,"")</f>
      </c>
      <c r="G45" s="89">
        <f>IF($B45&lt;('Quick Calculations'!$I$8+2.5),($B45/($B45+$F45))*100,"")</f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1:20" ht="12.75">
      <c r="A46" s="86"/>
      <c r="B46" s="88">
        <v>185</v>
      </c>
      <c r="C46" s="24">
        <f>IF($B46&lt;('Quick Calculations'!$I$8+2.5),(((((0.0004+('Quick Calculations'!$I$10/1000000))*'Quick Calculations'!$D$9)*$B46)/(1-((0.0004+('Quick Calculations'!$I$10/1000000))*'Quick Calculations'!$D$9)))+($B46/'Quick Calculations'!$D$7)*2*0.25),"")</f>
      </c>
      <c r="D46" s="24">
        <f>IF($B46&lt;('Quick Calculations'!$I$8+2.5),($B46/'Quick Calculations'!$D$7*2*'Quick Calculations'!$D$8),"")</f>
      </c>
      <c r="E46" s="24">
        <f>IF($B46&lt;('Quick Calculations'!$I$8+2.5),0.036*('Quick Calculations'!$D$5+'Quick Calculations'!$D$6)/2,"")</f>
      </c>
      <c r="F46" s="89">
        <f>IF($B46&lt;('Quick Calculations'!$I$8+2.5),$C46+$D46+$E46,"")</f>
      </c>
      <c r="G46" s="89">
        <f>IF($B46&lt;('Quick Calculations'!$I$8+2.5),($B46/($B46+$F46))*100,"")</f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1:20" ht="12.75">
      <c r="A47" s="86"/>
      <c r="B47" s="88">
        <v>190</v>
      </c>
      <c r="C47" s="24">
        <f>IF($B47&lt;('Quick Calculations'!$I$8+2.5),(((((0.0004+('Quick Calculations'!$I$10/1000000))*'Quick Calculations'!$D$9)*$B47)/(1-((0.0004+('Quick Calculations'!$I$10/1000000))*'Quick Calculations'!$D$9)))+($B47/'Quick Calculations'!$D$7)*2*0.25),"")</f>
      </c>
      <c r="D47" s="24">
        <f>IF($B47&lt;('Quick Calculations'!$I$8+2.5),($B47/'Quick Calculations'!$D$7*2*'Quick Calculations'!$D$8),"")</f>
      </c>
      <c r="E47" s="24">
        <f>IF($B47&lt;('Quick Calculations'!$I$8+2.5),0.036*('Quick Calculations'!$D$5+'Quick Calculations'!$D$6)/2,"")</f>
      </c>
      <c r="F47" s="89">
        <f>IF($B47&lt;('Quick Calculations'!$I$8+2.5),$C47+$D47+$E47,"")</f>
      </c>
      <c r="G47" s="89">
        <f>IF($B47&lt;('Quick Calculations'!$I$8+2.5),($B47/($B47+$F47))*100,"")</f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1:20" ht="12.75">
      <c r="A48" s="86"/>
      <c r="B48" s="88">
        <v>195</v>
      </c>
      <c r="C48" s="24">
        <f>IF($B48&lt;('Quick Calculations'!$I$8+2.5),(((((0.0004+('Quick Calculations'!$I$10/1000000))*'Quick Calculations'!$D$9)*$B48)/(1-((0.0004+('Quick Calculations'!$I$10/1000000))*'Quick Calculations'!$D$9)))+($B48/'Quick Calculations'!$D$7)*2*0.25),"")</f>
      </c>
      <c r="D48" s="24">
        <f>IF($B48&lt;('Quick Calculations'!$I$8+2.5),($B48/'Quick Calculations'!$D$7*2*'Quick Calculations'!$D$8),"")</f>
      </c>
      <c r="E48" s="24">
        <f>IF($B48&lt;('Quick Calculations'!$I$8+2.5),0.036*('Quick Calculations'!$D$5+'Quick Calculations'!$D$6)/2,"")</f>
      </c>
      <c r="F48" s="89">
        <f>IF($B48&lt;('Quick Calculations'!$I$8+2.5),$C48+$D48+$E48,"")</f>
      </c>
      <c r="G48" s="89">
        <f>IF($B48&lt;('Quick Calculations'!$I$8+2.5),($B48/($B48+$F48))*100,"")</f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1:20" ht="12.75">
      <c r="A49" s="86"/>
      <c r="B49" s="88">
        <v>200</v>
      </c>
      <c r="C49" s="24">
        <f>IF($B49&lt;('Quick Calculations'!$I$8+2.5),(((((0.0004+('Quick Calculations'!$I$10/1000000))*'Quick Calculations'!$D$9)*$B49)/(1-((0.0004+('Quick Calculations'!$I$10/1000000))*'Quick Calculations'!$D$9)))+($B49/'Quick Calculations'!$D$7)*2*0.25),"")</f>
      </c>
      <c r="D49" s="24">
        <f>IF($B49&lt;('Quick Calculations'!$I$8+2.5),($B49/'Quick Calculations'!$D$7*2*'Quick Calculations'!$D$8),"")</f>
      </c>
      <c r="E49" s="24">
        <f>IF($B49&lt;('Quick Calculations'!$I$8+2.5),0.036*('Quick Calculations'!$D$5+'Quick Calculations'!$D$6)/2,"")</f>
      </c>
      <c r="F49" s="89">
        <f>IF($B49&lt;('Quick Calculations'!$I$8+2.5),$C49+$D49+$E49,"")</f>
      </c>
      <c r="G49" s="89">
        <f>IF($B49&lt;('Quick Calculations'!$I$8+2.5),($B49/($B49+$F49))*100,"")</f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1:20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 ht="12.7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 ht="12.7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</sheetData>
  <sheetProtection password="DC63" sheet="1" objects="1" scenarios="1"/>
  <mergeCells count="7">
    <mergeCell ref="B3:F3"/>
    <mergeCell ref="B4:D4"/>
    <mergeCell ref="B5:D5"/>
    <mergeCell ref="B1:T1"/>
    <mergeCell ref="G4:I4"/>
    <mergeCell ref="G5:H5"/>
    <mergeCell ref="E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.8515625" style="0" customWidth="1"/>
    <col min="3" max="3" width="8.7109375" style="0" customWidth="1"/>
    <col min="4" max="4" width="11.28125" style="0" customWidth="1"/>
    <col min="5" max="5" width="8.00390625" style="0" customWidth="1"/>
    <col min="7" max="7" width="9.421875" style="0" customWidth="1"/>
    <col min="8" max="9" width="9.7109375" style="0" customWidth="1"/>
    <col min="10" max="10" width="9.421875" style="0" customWidth="1"/>
    <col min="11" max="11" width="10.28125" style="0" customWidth="1"/>
  </cols>
  <sheetData>
    <row r="1" spans="1:21" ht="12" customHeight="1">
      <c r="A1" s="86"/>
      <c r="B1" s="143"/>
      <c r="C1" s="91" t="str">
        <f>'Quick Calculations'!$B$2</f>
        <v>Rev 1.3</v>
      </c>
      <c r="D1" s="87" t="s">
        <v>11</v>
      </c>
      <c r="E1" s="91">
        <v>36924</v>
      </c>
      <c r="F1" s="187" t="s">
        <v>114</v>
      </c>
      <c r="G1" s="187"/>
      <c r="H1" s="187"/>
      <c r="I1" s="187"/>
      <c r="J1" s="187"/>
      <c r="K1" s="188"/>
      <c r="L1" s="143"/>
      <c r="M1" s="6"/>
      <c r="N1" s="95"/>
      <c r="O1" s="95"/>
      <c r="P1" s="95"/>
      <c r="Q1" s="95"/>
      <c r="R1" s="95"/>
      <c r="S1" s="95"/>
      <c r="T1" s="62"/>
      <c r="U1" s="62"/>
    </row>
    <row r="2" spans="1:21" ht="12.75">
      <c r="A2" s="86"/>
      <c r="B2" s="143"/>
      <c r="C2" s="193" t="s">
        <v>116</v>
      </c>
      <c r="D2" s="194"/>
      <c r="E2" s="194"/>
      <c r="F2" s="194"/>
      <c r="G2" s="194"/>
      <c r="H2" s="194"/>
      <c r="I2" s="194"/>
      <c r="J2" s="195"/>
      <c r="K2" s="195"/>
      <c r="L2" s="195"/>
      <c r="M2" s="95"/>
      <c r="N2" s="95"/>
      <c r="O2" s="95"/>
      <c r="P2" s="95"/>
      <c r="Q2" s="95"/>
      <c r="R2" s="95"/>
      <c r="S2" s="95"/>
      <c r="T2" s="62"/>
      <c r="U2" s="62"/>
    </row>
    <row r="3" spans="1:21" ht="10.5" customHeight="1">
      <c r="A3" s="86"/>
      <c r="B3" s="143"/>
      <c r="C3" s="196"/>
      <c r="D3" s="143"/>
      <c r="E3" s="143"/>
      <c r="F3" s="143"/>
      <c r="G3" s="143"/>
      <c r="H3" s="143"/>
      <c r="I3" s="143"/>
      <c r="J3" s="143"/>
      <c r="K3" s="143"/>
      <c r="L3" s="143"/>
      <c r="M3" s="95"/>
      <c r="N3" s="95"/>
      <c r="O3" s="95"/>
      <c r="P3" s="95"/>
      <c r="Q3" s="95"/>
      <c r="R3" s="95"/>
      <c r="S3" s="95"/>
      <c r="T3" s="62"/>
      <c r="U3" s="62"/>
    </row>
    <row r="4" spans="1:21" ht="18" customHeight="1">
      <c r="A4" s="86"/>
      <c r="B4" s="96"/>
      <c r="C4" s="191" t="s">
        <v>118</v>
      </c>
      <c r="D4" s="192"/>
      <c r="E4" s="192"/>
      <c r="F4" s="143"/>
      <c r="G4" s="143"/>
      <c r="H4" s="143"/>
      <c r="I4" s="143"/>
      <c r="J4" s="143"/>
      <c r="K4" s="143"/>
      <c r="L4" s="143"/>
      <c r="M4" s="95"/>
      <c r="N4" s="95"/>
      <c r="O4" s="95"/>
      <c r="P4" s="95"/>
      <c r="Q4" s="95"/>
      <c r="R4" s="95"/>
      <c r="S4" s="95"/>
      <c r="T4" s="62"/>
      <c r="U4" s="62"/>
    </row>
    <row r="5" spans="1:21" ht="16.5" customHeight="1">
      <c r="A5" s="86"/>
      <c r="B5" s="97">
        <v>1</v>
      </c>
      <c r="C5" s="189">
        <f>+IF(OR('Quick Calculations'!$N$9&gt;1.2,'Quick Calculations'!$N$9&lt;0.4),"Q of the filter should be designed between 0.4 - 1.2.   Adjust values of L1, CBYP or C1","")</f>
      </c>
      <c r="D5" s="190"/>
      <c r="E5" s="190"/>
      <c r="F5" s="190"/>
      <c r="G5" s="190"/>
      <c r="H5" s="190"/>
      <c r="I5" s="190"/>
      <c r="J5" s="190"/>
      <c r="K5" s="190"/>
      <c r="L5" s="190"/>
      <c r="M5" s="95"/>
      <c r="N5" s="95"/>
      <c r="O5" s="95"/>
      <c r="P5" s="95"/>
      <c r="Q5" s="95"/>
      <c r="R5" s="95"/>
      <c r="S5" s="95"/>
      <c r="T5" s="62"/>
      <c r="U5" s="62"/>
    </row>
    <row r="6" spans="1:21" ht="16.5" customHeight="1">
      <c r="A6" s="86"/>
      <c r="B6" s="98">
        <v>2</v>
      </c>
      <c r="C6" s="185">
        <f>+IF(OR('Quick Calculations'!$M$25&gt;50,'Quick Calculations'!$R$25&gt;50),"Gain should not be set higher than 50V/V.   Check Gain numbers.","")</f>
      </c>
      <c r="D6" s="186"/>
      <c r="E6" s="186"/>
      <c r="F6" s="186"/>
      <c r="G6" s="186"/>
      <c r="H6" s="186"/>
      <c r="I6" s="186"/>
      <c r="J6" s="186"/>
      <c r="K6" s="186"/>
      <c r="L6" s="186"/>
      <c r="M6" s="95"/>
      <c r="N6" s="95"/>
      <c r="O6" s="95"/>
      <c r="P6" s="95"/>
      <c r="Q6" s="95"/>
      <c r="R6" s="95"/>
      <c r="S6" s="95"/>
      <c r="T6" s="62"/>
      <c r="U6" s="62"/>
    </row>
    <row r="7" spans="1:21" ht="16.5" customHeight="1">
      <c r="A7" s="86"/>
      <c r="B7" s="98">
        <v>3</v>
      </c>
      <c r="C7" s="185">
        <f>+IF('Quick Calculations'!$I$17&lt;1,"Full power thermals requires very large heat sink.   Increase load impedance or decrease supply voltage.","")</f>
      </c>
      <c r="D7" s="186"/>
      <c r="E7" s="186"/>
      <c r="F7" s="186"/>
      <c r="G7" s="186"/>
      <c r="H7" s="186"/>
      <c r="I7" s="186"/>
      <c r="J7" s="186"/>
      <c r="K7" s="186"/>
      <c r="L7" s="186"/>
      <c r="M7" s="95"/>
      <c r="N7" s="95"/>
      <c r="O7" s="95"/>
      <c r="P7" s="95"/>
      <c r="Q7" s="95"/>
      <c r="R7" s="95"/>
      <c r="S7" s="95"/>
      <c r="T7" s="62"/>
      <c r="U7" s="62"/>
    </row>
    <row r="8" spans="1:21" ht="16.5" customHeight="1">
      <c r="A8" s="86"/>
      <c r="B8" s="98">
        <v>4</v>
      </c>
      <c r="C8" s="185">
        <f>+IF('Quick Calculations'!$D$10&gt;5.1,"The value of Rdly should be set between 0 - 5.1k ohms.    Check value.","")</f>
      </c>
      <c r="D8" s="186"/>
      <c r="E8" s="186"/>
      <c r="F8" s="186"/>
      <c r="G8" s="186"/>
      <c r="H8" s="186"/>
      <c r="I8" s="186"/>
      <c r="J8" s="186"/>
      <c r="K8" s="186"/>
      <c r="L8" s="186"/>
      <c r="M8" s="95"/>
      <c r="N8" s="95"/>
      <c r="O8" s="95"/>
      <c r="P8" s="95"/>
      <c r="Q8" s="95"/>
      <c r="R8" s="95"/>
      <c r="S8" s="95"/>
      <c r="T8" s="62"/>
      <c r="U8" s="62"/>
    </row>
    <row r="9" spans="1:21" ht="16.5" customHeight="1">
      <c r="A9" s="86"/>
      <c r="B9" s="98">
        <v>5</v>
      </c>
      <c r="C9" s="185">
        <f>+IF(OR('Quick Calculations'!$M$28&gt;20,'Quick Calculations'!$R$28&gt;20),"Low frequency response (-3dB) may be higher than desired.   Check value of Cin and/or R1.","")</f>
      </c>
      <c r="D9" s="186"/>
      <c r="E9" s="186"/>
      <c r="F9" s="186"/>
      <c r="G9" s="186"/>
      <c r="H9" s="186"/>
      <c r="I9" s="186"/>
      <c r="J9" s="186"/>
      <c r="K9" s="186"/>
      <c r="L9" s="186"/>
      <c r="M9" s="95"/>
      <c r="N9" s="95"/>
      <c r="O9" s="95"/>
      <c r="P9" s="95"/>
      <c r="Q9" s="95"/>
      <c r="R9" s="95"/>
      <c r="S9" s="95"/>
      <c r="T9" s="62"/>
      <c r="U9" s="62"/>
    </row>
    <row r="10" spans="1:21" ht="16.5" customHeight="1">
      <c r="A10" s="86"/>
      <c r="B10" s="98">
        <v>6</v>
      </c>
      <c r="C10" s="185">
        <f>+IF(OR('Quick Calculations'!$I$27&gt;='Quick Calculations'!$N$8/1000,'Quick Calculations'!$I$27&gt;='Quick Calculations'!$N$13/1000,'Quick Calculations'!$I$28&gt;='Quick Calculations'!$N$8/1000,'Quick Calculations'!$I$28&gt;='Quick Calculations'!$N$13/1000),"The -3dB point of the input filter should be lower than the -3dB point of the LC output filter.   Check values.","")</f>
      </c>
      <c r="D10" s="186"/>
      <c r="E10" s="186"/>
      <c r="F10" s="186"/>
      <c r="G10" s="186"/>
      <c r="H10" s="186"/>
      <c r="I10" s="186"/>
      <c r="J10" s="186"/>
      <c r="K10" s="186"/>
      <c r="L10" s="186"/>
      <c r="M10" s="95"/>
      <c r="N10" s="95"/>
      <c r="O10" s="95"/>
      <c r="P10" s="95"/>
      <c r="Q10" s="95"/>
      <c r="R10" s="95"/>
      <c r="S10" s="95"/>
      <c r="T10" s="62"/>
      <c r="U10" s="62"/>
    </row>
    <row r="11" spans="1:21" ht="16.5" customHeight="1">
      <c r="A11" s="86"/>
      <c r="B11" s="98">
        <v>7</v>
      </c>
      <c r="C11" s="185">
        <f>+IF('Quick Calculations'!$D$6&lt;&gt;'Quick Calculations'!$D$5,"Supply voltages must be equal in absolute value. Adjust supply voltages accordingly. ",IF(OR('Quick Calculations'!$D$5=12,'Quick Calculations'!$D$6=12),"Voltage supply is the minimum operational voltage.  Under voltage detection may activate during peak output.",IF(OR('Quick Calculations'!$D$5=22,'Quick Calculations'!$D$6=22),"Voltage supply is the maximum operational voltage. Supply regulation must be exact.","")))</f>
      </c>
      <c r="D11" s="186"/>
      <c r="E11" s="186"/>
      <c r="F11" s="186"/>
      <c r="G11" s="186"/>
      <c r="H11" s="186"/>
      <c r="I11" s="186"/>
      <c r="J11" s="186"/>
      <c r="K11" s="186"/>
      <c r="L11" s="186"/>
      <c r="M11" s="95"/>
      <c r="N11" s="95"/>
      <c r="O11" s="95"/>
      <c r="P11" s="95"/>
      <c r="Q11" s="95"/>
      <c r="R11" s="95"/>
      <c r="S11" s="95"/>
      <c r="T11" s="62"/>
      <c r="U11" s="62"/>
    </row>
    <row r="12" spans="1:21" ht="16.5" customHeight="1">
      <c r="A12" s="86"/>
      <c r="B12" s="98">
        <v>8</v>
      </c>
      <c r="C12" s="185">
        <f>+IF('Quick Calculations'!$M$24/'Quick Calculations'!$M$23&lt;4,"The ratio of R2/RF should be 4 or greater.   Increase RF or decrease R2.",IF('Quick Calculations'!$M$24/'Quick Calculations'!$M$23&gt;455,"The ratio of R2/Rf should not exceed 455.   Increase R2 or decrease RF.",""))</f>
      </c>
      <c r="D12" s="186"/>
      <c r="E12" s="186"/>
      <c r="F12" s="186"/>
      <c r="G12" s="186"/>
      <c r="H12" s="186"/>
      <c r="I12" s="186"/>
      <c r="J12" s="186"/>
      <c r="K12" s="186"/>
      <c r="L12" s="186"/>
      <c r="M12" s="95"/>
      <c r="N12" s="95"/>
      <c r="O12" s="95"/>
      <c r="P12" s="95"/>
      <c r="Q12" s="95"/>
      <c r="R12" s="95"/>
      <c r="S12" s="95"/>
      <c r="T12" s="62"/>
      <c r="U12" s="62"/>
    </row>
    <row r="13" spans="1:21" ht="15" customHeight="1">
      <c r="A13" s="8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43"/>
      <c r="M13" s="95"/>
      <c r="N13" s="95"/>
      <c r="O13" s="95"/>
      <c r="P13" s="95"/>
      <c r="Q13" s="95"/>
      <c r="R13" s="95"/>
      <c r="S13" s="95"/>
      <c r="T13" s="62"/>
      <c r="U13" s="62"/>
    </row>
    <row r="14" spans="1:21" ht="18" customHeight="1">
      <c r="A14" s="86"/>
      <c r="B14" s="96"/>
      <c r="C14" s="191" t="s">
        <v>117</v>
      </c>
      <c r="D14" s="192"/>
      <c r="E14" s="192"/>
      <c r="F14" s="143"/>
      <c r="G14" s="143"/>
      <c r="H14" s="143"/>
      <c r="I14" s="143"/>
      <c r="J14" s="143"/>
      <c r="K14" s="143"/>
      <c r="L14" s="143"/>
      <c r="M14" s="95"/>
      <c r="N14" s="95"/>
      <c r="O14" s="95"/>
      <c r="P14" s="95"/>
      <c r="Q14" s="95"/>
      <c r="R14" s="95"/>
      <c r="S14" s="95"/>
      <c r="T14" s="62"/>
      <c r="U14" s="62"/>
    </row>
    <row r="15" spans="1:21" ht="16.5" customHeight="1">
      <c r="A15" s="86"/>
      <c r="B15" s="97">
        <v>1</v>
      </c>
      <c r="C15" s="189">
        <f>+IF(OR('Quick Calculations'!$D$5&lt;12,'Quick Calculations'!$D$6&lt;12),"Voltage supply minimum is +/-12 Volts.   Increase supply to +/-12V or higher.",IF(OR('Quick Calculations'!$D$5&gt;22,'Quick Calculations'!$D$6&gt;22),"Voltage supply maximum is +/-22 Volts.   Decrease supply voltage to +/-22V or lower.",""))</f>
      </c>
      <c r="D15" s="190"/>
      <c r="E15" s="190"/>
      <c r="F15" s="190"/>
      <c r="G15" s="190"/>
      <c r="H15" s="190"/>
      <c r="I15" s="190"/>
      <c r="J15" s="190"/>
      <c r="K15" s="190"/>
      <c r="L15" s="190"/>
      <c r="M15" s="95"/>
      <c r="N15" s="95"/>
      <c r="O15" s="95"/>
      <c r="P15" s="95"/>
      <c r="Q15" s="95"/>
      <c r="R15" s="95"/>
      <c r="S15" s="95"/>
      <c r="T15" s="62"/>
      <c r="U15" s="62"/>
    </row>
    <row r="16" spans="1:21" ht="16.5" customHeight="1">
      <c r="A16" s="86"/>
      <c r="B16" s="98">
        <v>2</v>
      </c>
      <c r="C16" s="185">
        <f>+IF(OR('Quick Calculations'!$D$9&lt;50,'Quick Calculations'!$D$9&gt;200),"The Switching Frequency (SWF) range is 50kHz to 200kHz.   Adjust the value to within this range.","")</f>
      </c>
      <c r="D16" s="186"/>
      <c r="E16" s="186"/>
      <c r="F16" s="186"/>
      <c r="G16" s="186"/>
      <c r="H16" s="186"/>
      <c r="I16" s="186"/>
      <c r="J16" s="186"/>
      <c r="K16" s="186"/>
      <c r="L16" s="186"/>
      <c r="M16" s="95"/>
      <c r="N16" s="95"/>
      <c r="O16" s="95"/>
      <c r="P16" s="95"/>
      <c r="Q16" s="95"/>
      <c r="R16" s="95"/>
      <c r="S16" s="95"/>
      <c r="T16" s="62"/>
      <c r="U16" s="62"/>
    </row>
    <row r="17" spans="1:21" ht="16.5" customHeight="1">
      <c r="A17" s="86"/>
      <c r="B17" s="98">
        <v>3</v>
      </c>
      <c r="C17" s="185">
        <f>+IF('Quick Calculations'!$D$24&lt;13,"Output current required exceeds the limits of the LM4652.   Increase load impedance or lower supply voltage.","")</f>
      </c>
      <c r="D17" s="186"/>
      <c r="E17" s="186"/>
      <c r="F17" s="186"/>
      <c r="G17" s="186"/>
      <c r="H17" s="186"/>
      <c r="I17" s="186"/>
      <c r="J17" s="186"/>
      <c r="K17" s="186"/>
      <c r="L17" s="186"/>
      <c r="M17" s="95"/>
      <c r="N17" s="95"/>
      <c r="O17" s="95"/>
      <c r="P17" s="95"/>
      <c r="Q17" s="95"/>
      <c r="R17" s="95"/>
      <c r="S17" s="95"/>
      <c r="T17" s="62"/>
      <c r="U17" s="62"/>
    </row>
    <row r="18" spans="1:21" ht="12.75">
      <c r="A18" s="86"/>
      <c r="B18" s="6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62"/>
      <c r="U18" s="62"/>
    </row>
    <row r="19" spans="1:21" ht="12.75">
      <c r="A19" s="86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62"/>
      <c r="U19" s="62"/>
    </row>
    <row r="20" spans="1:21" ht="12.75">
      <c r="A20" s="8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62"/>
      <c r="U20" s="62"/>
    </row>
    <row r="21" spans="1:21" ht="12.75">
      <c r="A21" s="8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62"/>
      <c r="U21" s="62"/>
    </row>
    <row r="22" spans="1:21" ht="12.75">
      <c r="A22" s="86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62"/>
      <c r="U22" s="62"/>
    </row>
    <row r="23" spans="1:21" ht="12.75">
      <c r="A23" s="86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62"/>
      <c r="U23" s="62"/>
    </row>
    <row r="24" spans="1:21" ht="12.75">
      <c r="A24" s="86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62"/>
      <c r="U24" s="62"/>
    </row>
    <row r="25" spans="1:21" ht="12.75">
      <c r="A25" s="8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62"/>
      <c r="U25" s="62"/>
    </row>
    <row r="26" spans="1:21" ht="12.75">
      <c r="A26" s="86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62"/>
      <c r="U26" s="62"/>
    </row>
    <row r="27" spans="1:21" ht="12.75">
      <c r="A27" s="86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62"/>
      <c r="U27" s="62"/>
    </row>
    <row r="28" spans="1:21" ht="12.75">
      <c r="A28" s="86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62"/>
      <c r="U28" s="62"/>
    </row>
    <row r="29" spans="1:21" ht="12.75">
      <c r="A29" s="86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62"/>
      <c r="U29" s="62"/>
    </row>
    <row r="30" spans="1:21" ht="12.75">
      <c r="A30" s="86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62"/>
      <c r="U30" s="62"/>
    </row>
    <row r="31" spans="1:21" ht="12.75">
      <c r="A31" s="86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62"/>
      <c r="U31" s="62"/>
    </row>
    <row r="32" spans="1:21" ht="12.75">
      <c r="A32" s="86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62"/>
      <c r="U32" s="62"/>
    </row>
    <row r="33" spans="1:21" ht="12.75">
      <c r="A33" s="86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62"/>
      <c r="U33" s="62"/>
    </row>
    <row r="34" spans="1:21" ht="12.75">
      <c r="A34" s="86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62"/>
      <c r="U34" s="62"/>
    </row>
    <row r="35" spans="1:21" ht="12.75">
      <c r="A35" s="86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62"/>
      <c r="U35" s="62"/>
    </row>
    <row r="36" spans="1:21" ht="12.75">
      <c r="A36" s="86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62"/>
      <c r="U36" s="62"/>
    </row>
    <row r="37" spans="1:21" ht="12.75">
      <c r="A37" s="86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62"/>
      <c r="U37" s="62"/>
    </row>
    <row r="38" spans="1:21" ht="12.75">
      <c r="A38" s="86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62"/>
      <c r="U38" s="62"/>
    </row>
    <row r="39" spans="1:21" ht="12.75">
      <c r="A39" s="86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62"/>
      <c r="U39" s="62"/>
    </row>
    <row r="40" spans="1:21" ht="12.75">
      <c r="A40" s="86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62"/>
      <c r="U40" s="62"/>
    </row>
    <row r="41" spans="1:21" ht="12.75">
      <c r="A41" s="8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62"/>
      <c r="U41" s="62"/>
    </row>
    <row r="42" spans="2:21" ht="12.7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</sheetData>
  <sheetProtection password="DC63" sheet="1" objects="1" scenarios="1"/>
  <mergeCells count="18">
    <mergeCell ref="B13:L13"/>
    <mergeCell ref="B1:B3"/>
    <mergeCell ref="C12:L12"/>
    <mergeCell ref="C5:L5"/>
    <mergeCell ref="C6:L6"/>
    <mergeCell ref="C7:L7"/>
    <mergeCell ref="C8:L8"/>
    <mergeCell ref="C15:L15"/>
    <mergeCell ref="C16:L16"/>
    <mergeCell ref="C17:L17"/>
    <mergeCell ref="C14:L14"/>
    <mergeCell ref="C9:L9"/>
    <mergeCell ref="C10:L10"/>
    <mergeCell ref="C11:L11"/>
    <mergeCell ref="F1:L1"/>
    <mergeCell ref="C2:L2"/>
    <mergeCell ref="C4:L4"/>
    <mergeCell ref="C3:L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Huebner</dc:creator>
  <cp:keywords/>
  <dc:description/>
  <cp:lastModifiedBy>Troy Huebner</cp:lastModifiedBy>
  <cp:lastPrinted>2000-04-24T22:18:25Z</cp:lastPrinted>
  <dcterms:created xsi:type="dcterms:W3CDTF">2000-04-20T19:14:31Z</dcterms:created>
  <cp:category/>
  <cp:version/>
  <cp:contentType/>
  <cp:contentStatus/>
</cp:coreProperties>
</file>